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150-38\Desktop\2025\"/>
    </mc:Choice>
  </mc:AlternateContent>
  <xr:revisionPtr revIDLastSave="0" documentId="8_{680F0866-63C7-4A87-AD45-4AA599DAA891}" xr6:coauthVersionLast="36" xr6:coauthVersionMax="36" xr10:uidLastSave="{00000000-0000-0000-0000-000000000000}"/>
  <bookViews>
    <workbookView xWindow="0" yWindow="0" windowWidth="21570" windowHeight="10215" xr2:uid="{66091C8A-6825-482F-989A-BEDF2A248ECD}"/>
    <workbookView visibility="hidden" xWindow="-30825" yWindow="-105" windowWidth="30930" windowHeight="16770" firstSheet="36" activeTab="39" xr2:uid="{D0EE762A-4119-4AB0-A22B-D9958FAABE1F}"/>
    <workbookView xWindow="-30825" yWindow="-105" windowWidth="30930" windowHeight="16770" xr2:uid="{95D3F775-4E80-4059-BE04-020F24689C28}"/>
  </bookViews>
  <sheets>
    <sheet name="Z1" sheetId="1" r:id="rId1"/>
    <sheet name="Z2" sheetId="4" r:id="rId2"/>
    <sheet name="Z3" sheetId="5" r:id="rId3"/>
    <sheet name="Z4" sheetId="7" r:id="rId4"/>
    <sheet name="Z5" sheetId="171" r:id="rId5"/>
    <sheet name="Z6" sheetId="161" r:id="rId6"/>
    <sheet name="Z7" sheetId="188" r:id="rId7"/>
    <sheet name="Z8" sheetId="10" r:id="rId8"/>
    <sheet name="Z9" sheetId="12" r:id="rId9"/>
    <sheet name="Z10" sheetId="13" r:id="rId10"/>
    <sheet name="Z11" sheetId="14" r:id="rId11"/>
    <sheet name="Z12" sheetId="199" r:id="rId12"/>
    <sheet name="Z13" sheetId="125" r:id="rId13"/>
    <sheet name="Z14" sheetId="18" r:id="rId14"/>
    <sheet name="Z15" sheetId="19" r:id="rId15"/>
    <sheet name="Z16" sheetId="20" r:id="rId16"/>
    <sheet name="Z17" sheetId="21" r:id="rId17"/>
    <sheet name="Z18" sheetId="178" r:id="rId18"/>
    <sheet name="Z19" sheetId="22" r:id="rId19"/>
    <sheet name="Z20" sheetId="23" r:id="rId20"/>
    <sheet name="Z21" sheetId="24" r:id="rId21"/>
    <sheet name="Z22" sheetId="25" r:id="rId22"/>
    <sheet name="Z23" sheetId="26" r:id="rId23"/>
    <sheet name="Z24" sheetId="9" r:id="rId24"/>
    <sheet name="Z25" sheetId="28" r:id="rId25"/>
    <sheet name="Z26" sheetId="29" r:id="rId26"/>
    <sheet name="Z27" sheetId="30" r:id="rId27"/>
    <sheet name="Z28" sheetId="32" r:id="rId28"/>
    <sheet name="Z29" sheetId="33" r:id="rId29"/>
    <sheet name="Z30" sheetId="34" r:id="rId30"/>
    <sheet name="Z31" sheetId="156" r:id="rId31"/>
    <sheet name="Z32" sheetId="36" r:id="rId32"/>
    <sheet name="Z33" sheetId="165" r:id="rId33"/>
    <sheet name="Z34" sheetId="166" r:id="rId34"/>
    <sheet name="Z35" sheetId="144" r:id="rId35"/>
    <sheet name="Z36" sheetId="198" r:id="rId36"/>
    <sheet name="Z37" sheetId="149" r:id="rId37"/>
    <sheet name="Z38" sheetId="143" r:id="rId38"/>
    <sheet name="Z39" sheetId="133" r:id="rId39"/>
    <sheet name="Z40" sheetId="45" r:id="rId40"/>
    <sheet name="Z41" sheetId="122" r:id="rId41"/>
    <sheet name="Z42" sheetId="47" r:id="rId42"/>
    <sheet name="Z43" sheetId="48" r:id="rId43"/>
    <sheet name="Z44" sheetId="146" r:id="rId44"/>
    <sheet name="Z45" sheetId="86" r:id="rId45"/>
    <sheet name="Z46" sheetId="50" r:id="rId46"/>
    <sheet name="Z47" sheetId="56" r:id="rId47"/>
    <sheet name="Z48" sheetId="57" r:id="rId48"/>
    <sheet name="Z49" sheetId="60" r:id="rId49"/>
    <sheet name="Z50" sheetId="61" r:id="rId50"/>
    <sheet name="Z51" sheetId="62" r:id="rId51"/>
    <sheet name="Z52" sheetId="64" r:id="rId52"/>
    <sheet name="Z53" sheetId="67" r:id="rId53"/>
    <sheet name="Z54" sheetId="68" r:id="rId54"/>
    <sheet name="Z55" sheetId="69" r:id="rId55"/>
    <sheet name="Z56" sheetId="76" r:id="rId56"/>
    <sheet name="Z57" sheetId="72" r:id="rId57"/>
    <sheet name="Z58" sheetId="77" r:id="rId58"/>
    <sheet name="Z59" sheetId="79" r:id="rId59"/>
    <sheet name="Z60" sheetId="80" r:id="rId60"/>
    <sheet name="Z61" sheetId="83" r:id="rId61"/>
    <sheet name="Z62" sheetId="93" r:id="rId62"/>
    <sheet name="Z63" sheetId="95" r:id="rId63"/>
    <sheet name="Z64" sheetId="96" r:id="rId64"/>
    <sheet name="Z65" sheetId="100" r:id="rId65"/>
    <sheet name="Z66" sheetId="101" r:id="rId66"/>
    <sheet name="Z67" sheetId="107" r:id="rId67"/>
    <sheet name="Z68" sheetId="118" r:id="rId68"/>
    <sheet name="Z69" sheetId="123" r:id="rId69"/>
    <sheet name="Z70" sheetId="124" r:id="rId70"/>
  </sheets>
  <definedNames>
    <definedName name="_xlnm.Print_Area" localSheetId="0">'Z1'!$A:$L</definedName>
    <definedName name="_xlnm.Print_Area" localSheetId="9">'Z10'!$A:$L</definedName>
    <definedName name="_xlnm.Print_Area" localSheetId="10">'Z11'!$A:$L</definedName>
    <definedName name="_xlnm.Print_Area" localSheetId="11">'Z12'!$A:$L</definedName>
    <definedName name="_xlnm.Print_Area" localSheetId="12">'Z13'!$A:$L</definedName>
    <definedName name="_xlnm.Print_Area" localSheetId="13">'Z14'!$A:$L</definedName>
    <definedName name="_xlnm.Print_Area" localSheetId="14">'Z15'!$A:$L</definedName>
    <definedName name="_xlnm.Print_Area" localSheetId="15">'Z16'!$A:$L</definedName>
    <definedName name="_xlnm.Print_Area" localSheetId="16">'Z17'!$A:$L</definedName>
    <definedName name="_xlnm.Print_Area" localSheetId="17">'Z18'!$A:$L</definedName>
    <definedName name="_xlnm.Print_Area" localSheetId="18">'Z19'!$A:$L</definedName>
    <definedName name="_xlnm.Print_Area" localSheetId="1">'Z2'!$A:$L</definedName>
    <definedName name="_xlnm.Print_Area" localSheetId="19">'Z20'!$A:$L</definedName>
    <definedName name="_xlnm.Print_Area" localSheetId="20">'Z21'!$A:$L</definedName>
    <definedName name="_xlnm.Print_Area" localSheetId="21">'Z22'!$A:$L</definedName>
    <definedName name="_xlnm.Print_Area" localSheetId="22">'Z23'!$A:$L</definedName>
    <definedName name="_xlnm.Print_Area" localSheetId="23">'Z24'!$A:$L</definedName>
    <definedName name="_xlnm.Print_Area" localSheetId="24">'Z25'!$A:$L</definedName>
    <definedName name="_xlnm.Print_Area" localSheetId="25">'Z26'!$A:$L</definedName>
    <definedName name="_xlnm.Print_Area" localSheetId="26">'Z27'!$A:$L</definedName>
    <definedName name="_xlnm.Print_Area" localSheetId="27">'Z28'!$A:$L</definedName>
    <definedName name="_xlnm.Print_Area" localSheetId="28">'Z29'!$A:$L</definedName>
    <definedName name="_xlnm.Print_Area" localSheetId="2">'Z3'!$A:$L</definedName>
    <definedName name="_xlnm.Print_Area" localSheetId="29">'Z30'!$A:$L</definedName>
    <definedName name="_xlnm.Print_Area" localSheetId="30">'Z31'!$A:$L</definedName>
    <definedName name="_xlnm.Print_Area" localSheetId="31">'Z32'!$A:$L</definedName>
    <definedName name="_xlnm.Print_Area" localSheetId="32">'Z33'!$A:$L</definedName>
    <definedName name="_xlnm.Print_Area" localSheetId="33">'Z34'!$A:$L</definedName>
    <definedName name="_xlnm.Print_Area" localSheetId="34">'Z35'!$A:$L</definedName>
    <definedName name="_xlnm.Print_Area" localSheetId="36">'Z37'!$A:$L</definedName>
    <definedName name="_xlnm.Print_Area" localSheetId="37">'Z38'!$A:$L</definedName>
    <definedName name="_xlnm.Print_Area" localSheetId="38">'Z39'!$A:$L</definedName>
    <definedName name="_xlnm.Print_Area" localSheetId="3">'Z4'!$A:$L</definedName>
    <definedName name="_xlnm.Print_Area" localSheetId="39">'Z40'!$A:$L</definedName>
    <definedName name="_xlnm.Print_Area" localSheetId="40">'Z41'!$A:$L</definedName>
    <definedName name="_xlnm.Print_Area" localSheetId="41">'Z42'!$A:$L</definedName>
    <definedName name="_xlnm.Print_Area" localSheetId="42">'Z43'!$A:$L</definedName>
    <definedName name="_xlnm.Print_Area" localSheetId="43">'Z44'!$A:$L</definedName>
    <definedName name="_xlnm.Print_Area" localSheetId="44">'Z45'!$A:$L</definedName>
    <definedName name="_xlnm.Print_Area" localSheetId="45">'Z46'!$A:$L</definedName>
    <definedName name="_xlnm.Print_Area" localSheetId="46">'Z47'!$A:$L</definedName>
    <definedName name="_xlnm.Print_Area" localSheetId="47">'Z48'!$A:$L</definedName>
    <definedName name="_xlnm.Print_Area" localSheetId="48">'Z49'!$A:$L</definedName>
    <definedName name="_xlnm.Print_Area" localSheetId="4">'Z5'!$A:$L</definedName>
    <definedName name="_xlnm.Print_Area" localSheetId="49">'Z50'!$A:$L</definedName>
    <definedName name="_xlnm.Print_Area" localSheetId="50">'Z51'!$A:$L</definedName>
    <definedName name="_xlnm.Print_Area" localSheetId="51">'Z52'!$A:$L</definedName>
    <definedName name="_xlnm.Print_Area" localSheetId="52">'Z53'!$A:$L</definedName>
    <definedName name="_xlnm.Print_Area" localSheetId="53">'Z54'!$A:$L</definedName>
    <definedName name="_xlnm.Print_Area" localSheetId="54">'Z55'!$A:$L</definedName>
    <definedName name="_xlnm.Print_Area" localSheetId="55">'Z56'!$A:$L</definedName>
    <definedName name="_xlnm.Print_Area" localSheetId="56">'Z57'!$A:$L</definedName>
    <definedName name="_xlnm.Print_Area" localSheetId="57">'Z58'!$A:$L</definedName>
    <definedName name="_xlnm.Print_Area" localSheetId="58">'Z59'!$A:$L</definedName>
    <definedName name="_xlnm.Print_Area" localSheetId="5">'Z6'!$A:$L</definedName>
    <definedName name="_xlnm.Print_Area" localSheetId="59">'Z60'!$A:$L</definedName>
    <definedName name="_xlnm.Print_Area" localSheetId="60">'Z61'!$A:$L</definedName>
    <definedName name="_xlnm.Print_Area" localSheetId="61">'Z62'!$A:$L</definedName>
    <definedName name="_xlnm.Print_Area" localSheetId="62">'Z63'!$A:$L</definedName>
    <definedName name="_xlnm.Print_Area" localSheetId="63">'Z64'!$A:$L</definedName>
    <definedName name="_xlnm.Print_Area" localSheetId="64">'Z65'!$A:$L</definedName>
    <definedName name="_xlnm.Print_Area" localSheetId="65">'Z66'!$A:$L</definedName>
    <definedName name="_xlnm.Print_Area" localSheetId="66">'Z67'!$A:$L</definedName>
    <definedName name="_xlnm.Print_Area" localSheetId="67">'Z68'!$A:$L</definedName>
    <definedName name="_xlnm.Print_Area" localSheetId="68">'Z69'!$A:$L</definedName>
    <definedName name="_xlnm.Print_Area" localSheetId="6">'Z7'!$A:$L</definedName>
    <definedName name="_xlnm.Print_Area" localSheetId="69">'Z70'!$A:$L</definedName>
    <definedName name="_xlnm.Print_Area" localSheetId="7">'Z8'!$A:$L</definedName>
    <definedName name="_xlnm.Print_Area" localSheetId="8">'Z9'!$A:$L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26" l="1"/>
  <c r="F55" i="1" l="1"/>
  <c r="F9" i="95"/>
  <c r="F10" i="95"/>
  <c r="F11" i="95"/>
  <c r="F9" i="199"/>
  <c r="F10" i="199" s="1"/>
  <c r="F9" i="76" l="1"/>
  <c r="F10" i="76"/>
  <c r="F11" i="76"/>
  <c r="F12" i="76"/>
  <c r="F13" i="76"/>
  <c r="F14" i="76"/>
  <c r="F15" i="76"/>
  <c r="F16" i="76"/>
  <c r="F17" i="76"/>
  <c r="F18" i="76"/>
  <c r="F19" i="76"/>
  <c r="F20" i="76"/>
  <c r="F21" i="76"/>
  <c r="F22" i="76"/>
  <c r="F23" i="76"/>
  <c r="F24" i="76"/>
  <c r="F25" i="76"/>
  <c r="F26" i="76"/>
  <c r="F22" i="165"/>
  <c r="F58" i="25" l="1"/>
  <c r="F59" i="25"/>
  <c r="F60" i="25"/>
  <c r="F61" i="25"/>
  <c r="F62" i="25"/>
  <c r="F63" i="25"/>
  <c r="F64" i="25"/>
  <c r="F65" i="25"/>
  <c r="F66" i="25"/>
  <c r="F26" i="23"/>
  <c r="F27" i="23"/>
  <c r="F28" i="23"/>
  <c r="F29" i="23"/>
  <c r="F30" i="23"/>
  <c r="F31" i="23"/>
  <c r="F32" i="23"/>
  <c r="F33" i="23"/>
  <c r="F34" i="23"/>
  <c r="F35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30" i="14"/>
  <c r="F18" i="30" l="1"/>
  <c r="F10" i="86" l="1"/>
  <c r="F11" i="86"/>
  <c r="F12" i="86"/>
  <c r="F9" i="86"/>
  <c r="F36" i="5" l="1"/>
  <c r="F14" i="143" l="1"/>
  <c r="F57" i="25" l="1"/>
  <c r="F183" i="22"/>
  <c r="F182" i="22"/>
  <c r="F181" i="22"/>
  <c r="F14" i="161" l="1"/>
  <c r="F9" i="161"/>
  <c r="F10" i="161"/>
  <c r="F11" i="161"/>
  <c r="F12" i="161"/>
  <c r="F13" i="161"/>
  <c r="F12" i="7" l="1"/>
  <c r="F13" i="7"/>
  <c r="F11" i="7"/>
  <c r="F10" i="7" l="1"/>
  <c r="F27" i="5"/>
  <c r="F18" i="5" l="1"/>
  <c r="F53" i="1"/>
  <c r="F54" i="1"/>
  <c r="F51" i="1"/>
  <c r="F52" i="1"/>
  <c r="F26" i="1"/>
  <c r="F20" i="5"/>
  <c r="F9" i="198"/>
  <c r="F10" i="198" s="1"/>
  <c r="F40" i="30" l="1"/>
  <c r="F38" i="30"/>
  <c r="F39" i="30"/>
  <c r="F35" i="30"/>
  <c r="F36" i="30"/>
  <c r="F37" i="30"/>
  <c r="F9" i="100" l="1"/>
  <c r="F10" i="47"/>
  <c r="F17" i="47"/>
  <c r="F9" i="133" l="1"/>
  <c r="F180" i="22" l="1"/>
  <c r="F178" i="22"/>
  <c r="F179" i="22"/>
  <c r="F177" i="22"/>
  <c r="F9" i="101" l="1"/>
  <c r="F26" i="45" l="1"/>
  <c r="F25" i="45" l="1"/>
  <c r="F42" i="166"/>
  <c r="F43" i="166"/>
  <c r="F48" i="68"/>
  <c r="F175" i="22"/>
  <c r="F176" i="22"/>
  <c r="F59" i="32"/>
  <c r="F173" i="22" l="1"/>
  <c r="F174" i="22"/>
  <c r="F58" i="32"/>
  <c r="F47" i="68"/>
  <c r="F45" i="68"/>
  <c r="F46" i="68"/>
  <c r="F43" i="68"/>
  <c r="F40" i="68"/>
  <c r="F41" i="68"/>
  <c r="F42" i="68"/>
  <c r="F44" i="68"/>
  <c r="F34" i="68"/>
  <c r="F38" i="60"/>
  <c r="F36" i="60"/>
  <c r="F37" i="60"/>
  <c r="F56" i="25"/>
  <c r="F22" i="68"/>
  <c r="F20" i="68"/>
  <c r="F39" i="68"/>
  <c r="F55" i="25"/>
  <c r="F32" i="60"/>
  <c r="F33" i="60"/>
  <c r="F34" i="60"/>
  <c r="F35" i="60"/>
  <c r="F10" i="26"/>
  <c r="F37" i="25" l="1"/>
  <c r="F38" i="25"/>
  <c r="F39" i="25"/>
  <c r="F22" i="45"/>
  <c r="F23" i="45"/>
  <c r="F24" i="45"/>
  <c r="F11" i="32"/>
  <c r="F12" i="32"/>
  <c r="F57" i="32"/>
  <c r="F29" i="32"/>
  <c r="F30" i="32"/>
  <c r="F85" i="22" l="1"/>
  <c r="F20" i="13" l="1"/>
  <c r="F21" i="13"/>
  <c r="F22" i="13"/>
  <c r="F23" i="13"/>
  <c r="F24" i="13"/>
  <c r="F25" i="13"/>
  <c r="F26" i="13"/>
  <c r="H9" i="188"/>
  <c r="I9" i="188" s="1"/>
  <c r="F9" i="188"/>
  <c r="F10" i="188" s="1"/>
  <c r="F9" i="178"/>
  <c r="F10" i="178" s="1"/>
  <c r="F53" i="25"/>
  <c r="F54" i="25"/>
  <c r="F12" i="143"/>
  <c r="F32" i="5"/>
  <c r="F54" i="32" l="1"/>
  <c r="F16" i="13"/>
  <c r="F9" i="171"/>
  <c r="F10" i="171"/>
  <c r="F11" i="171"/>
  <c r="F12" i="171"/>
  <c r="F13" i="171"/>
  <c r="F14" i="171"/>
  <c r="F48" i="25"/>
  <c r="F49" i="25"/>
  <c r="F50" i="25"/>
  <c r="F51" i="25"/>
  <c r="F52" i="25"/>
  <c r="F15" i="171" l="1"/>
  <c r="F41" i="166"/>
  <c r="F40" i="166"/>
  <c r="F39" i="166"/>
  <c r="F38" i="166"/>
  <c r="F37" i="166"/>
  <c r="F36" i="166"/>
  <c r="F35" i="166"/>
  <c r="F34" i="166"/>
  <c r="F33" i="166"/>
  <c r="F32" i="166"/>
  <c r="F31" i="166"/>
  <c r="F30" i="166"/>
  <c r="F29" i="166"/>
  <c r="F28" i="166"/>
  <c r="F27" i="166"/>
  <c r="F26" i="166"/>
  <c r="F25" i="166"/>
  <c r="F24" i="166"/>
  <c r="F23" i="166"/>
  <c r="F22" i="166"/>
  <c r="F21" i="166"/>
  <c r="F20" i="166"/>
  <c r="F19" i="166"/>
  <c r="F18" i="166"/>
  <c r="F17" i="166"/>
  <c r="F16" i="166"/>
  <c r="F15" i="166"/>
  <c r="F14" i="166"/>
  <c r="F13" i="166"/>
  <c r="F12" i="166"/>
  <c r="F11" i="166"/>
  <c r="F10" i="166"/>
  <c r="F9" i="166"/>
  <c r="F30" i="165"/>
  <c r="F31" i="165"/>
  <c r="F29" i="165"/>
  <c r="F28" i="165"/>
  <c r="F27" i="165"/>
  <c r="F26" i="165"/>
  <c r="F25" i="165"/>
  <c r="F24" i="165"/>
  <c r="F23" i="165"/>
  <c r="F21" i="165"/>
  <c r="F20" i="165"/>
  <c r="F19" i="165"/>
  <c r="F18" i="165"/>
  <c r="F17" i="165"/>
  <c r="F16" i="165"/>
  <c r="F15" i="165"/>
  <c r="F14" i="165"/>
  <c r="F13" i="165"/>
  <c r="F12" i="165"/>
  <c r="F11" i="165"/>
  <c r="F10" i="165"/>
  <c r="F9" i="165"/>
  <c r="F9" i="156"/>
  <c r="F10" i="156" s="1"/>
  <c r="F13" i="149"/>
  <c r="F12" i="149"/>
  <c r="F11" i="149"/>
  <c r="F10" i="149"/>
  <c r="F9" i="149"/>
  <c r="F9" i="146"/>
  <c r="F10" i="146" s="1"/>
  <c r="F9" i="144"/>
  <c r="F10" i="144" s="1"/>
  <c r="F13" i="143"/>
  <c r="F11" i="143"/>
  <c r="F10" i="143"/>
  <c r="F9" i="143"/>
  <c r="F10" i="133"/>
  <c r="F9" i="125"/>
  <c r="F10" i="125" s="1"/>
  <c r="F9" i="124"/>
  <c r="F10" i="124" s="1"/>
  <c r="F10" i="123"/>
  <c r="F9" i="123"/>
  <c r="F9" i="122"/>
  <c r="F10" i="122" s="1"/>
  <c r="F9" i="118"/>
  <c r="F10" i="118" s="1"/>
  <c r="F13" i="107"/>
  <c r="F12" i="107"/>
  <c r="F11" i="107"/>
  <c r="F10" i="107"/>
  <c r="F9" i="107"/>
  <c r="F10" i="101"/>
  <c r="F10" i="100"/>
  <c r="F10" i="96"/>
  <c r="F9" i="96"/>
  <c r="F11" i="96" s="1"/>
  <c r="F13" i="95"/>
  <c r="F12" i="95"/>
  <c r="F9" i="93"/>
  <c r="F10" i="93" s="1"/>
  <c r="F11" i="123" l="1"/>
  <c r="F14" i="107"/>
  <c r="F14" i="149"/>
  <c r="F15" i="161"/>
  <c r="F15" i="143"/>
  <c r="F14" i="95"/>
  <c r="F44" i="166"/>
  <c r="F32" i="165"/>
  <c r="F9" i="83" l="1"/>
  <c r="F9" i="80"/>
  <c r="F10" i="80" s="1"/>
  <c r="F10" i="79"/>
  <c r="F11" i="79"/>
  <c r="F9" i="79"/>
  <c r="F9" i="77"/>
  <c r="F10" i="77" s="1"/>
  <c r="F10" i="72"/>
  <c r="F11" i="72"/>
  <c r="F12" i="72"/>
  <c r="F13" i="72"/>
  <c r="F14" i="72"/>
  <c r="F15" i="72"/>
  <c r="F16" i="72"/>
  <c r="F17" i="72"/>
  <c r="F18" i="72"/>
  <c r="F19" i="72"/>
  <c r="F20" i="72"/>
  <c r="F21" i="72"/>
  <c r="F22" i="72"/>
  <c r="F23" i="72"/>
  <c r="F24" i="72"/>
  <c r="F25" i="72"/>
  <c r="F26" i="72"/>
  <c r="F27" i="72"/>
  <c r="F28" i="72"/>
  <c r="F29" i="72"/>
  <c r="F30" i="72"/>
  <c r="F31" i="72"/>
  <c r="F32" i="72"/>
  <c r="F33" i="72"/>
  <c r="F34" i="72"/>
  <c r="F35" i="72"/>
  <c r="F36" i="72"/>
  <c r="F37" i="72"/>
  <c r="F38" i="72"/>
  <c r="F39" i="72"/>
  <c r="F40" i="72"/>
  <c r="F41" i="72"/>
  <c r="F42" i="72"/>
  <c r="F43" i="72"/>
  <c r="F44" i="72"/>
  <c r="F45" i="72"/>
  <c r="F46" i="72"/>
  <c r="F47" i="72"/>
  <c r="F48" i="72"/>
  <c r="F49" i="72"/>
  <c r="F50" i="72"/>
  <c r="F51" i="72"/>
  <c r="F52" i="72"/>
  <c r="F53" i="72"/>
  <c r="F54" i="72"/>
  <c r="F55" i="72"/>
  <c r="F56" i="72"/>
  <c r="F57" i="72"/>
  <c r="F58" i="72"/>
  <c r="F59" i="72"/>
  <c r="F60" i="72"/>
  <c r="F61" i="72"/>
  <c r="F62" i="72"/>
  <c r="F63" i="72"/>
  <c r="F64" i="72"/>
  <c r="F65" i="72"/>
  <c r="F9" i="72"/>
  <c r="F10" i="69"/>
  <c r="F11" i="69"/>
  <c r="F12" i="69"/>
  <c r="F13" i="69"/>
  <c r="F14" i="69"/>
  <c r="F15" i="69"/>
  <c r="F9" i="69"/>
  <c r="F10" i="68"/>
  <c r="F11" i="68"/>
  <c r="F12" i="68"/>
  <c r="F13" i="68"/>
  <c r="F14" i="68"/>
  <c r="F15" i="68"/>
  <c r="F16" i="68"/>
  <c r="F17" i="68"/>
  <c r="F18" i="68"/>
  <c r="F19" i="68"/>
  <c r="F21" i="68"/>
  <c r="F23" i="68"/>
  <c r="F24" i="68"/>
  <c r="F25" i="68"/>
  <c r="F26" i="68"/>
  <c r="F27" i="68"/>
  <c r="F28" i="68"/>
  <c r="F29" i="68"/>
  <c r="F30" i="68"/>
  <c r="F31" i="68"/>
  <c r="F33" i="68"/>
  <c r="F35" i="68"/>
  <c r="F36" i="68"/>
  <c r="F37" i="68"/>
  <c r="F38" i="68"/>
  <c r="F9" i="68"/>
  <c r="F10" i="67"/>
  <c r="F11" i="67"/>
  <c r="F9" i="67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F25" i="64"/>
  <c r="F26" i="64"/>
  <c r="F27" i="64"/>
  <c r="F28" i="64"/>
  <c r="F29" i="64"/>
  <c r="F30" i="64"/>
  <c r="F31" i="64"/>
  <c r="F32" i="64"/>
  <c r="F33" i="64"/>
  <c r="F34" i="64"/>
  <c r="F35" i="64"/>
  <c r="F36" i="64"/>
  <c r="F37" i="64"/>
  <c r="F38" i="64"/>
  <c r="F39" i="64"/>
  <c r="F40" i="64"/>
  <c r="F41" i="64"/>
  <c r="F42" i="64"/>
  <c r="F9" i="64"/>
  <c r="F10" i="62"/>
  <c r="F11" i="62"/>
  <c r="F12" i="62"/>
  <c r="F13" i="62"/>
  <c r="F14" i="62"/>
  <c r="F15" i="62"/>
  <c r="F16" i="62"/>
  <c r="F17" i="62"/>
  <c r="F18" i="62"/>
  <c r="F19" i="62"/>
  <c r="F20" i="62"/>
  <c r="F21" i="62"/>
  <c r="F22" i="62"/>
  <c r="F23" i="62"/>
  <c r="F24" i="62"/>
  <c r="F25" i="62"/>
  <c r="F26" i="62"/>
  <c r="F27" i="62"/>
  <c r="F28" i="62"/>
  <c r="F29" i="62"/>
  <c r="F30" i="62"/>
  <c r="F31" i="62"/>
  <c r="F32" i="62"/>
  <c r="F33" i="62"/>
  <c r="F34" i="62"/>
  <c r="F35" i="62"/>
  <c r="F36" i="62"/>
  <c r="F37" i="62"/>
  <c r="F38" i="62"/>
  <c r="F39" i="62"/>
  <c r="F40" i="62"/>
  <c r="F9" i="62"/>
  <c r="F10" i="61"/>
  <c r="F11" i="61"/>
  <c r="F12" i="61"/>
  <c r="F13" i="61"/>
  <c r="F14" i="61"/>
  <c r="F15" i="61"/>
  <c r="F16" i="61"/>
  <c r="F17" i="61"/>
  <c r="F18" i="61"/>
  <c r="F19" i="61"/>
  <c r="F20" i="61"/>
  <c r="F9" i="61"/>
  <c r="F10" i="60"/>
  <c r="F11" i="60"/>
  <c r="F12" i="60"/>
  <c r="F13" i="60"/>
  <c r="F14" i="60"/>
  <c r="F15" i="60"/>
  <c r="F16" i="60"/>
  <c r="F17" i="60"/>
  <c r="F18" i="60"/>
  <c r="F19" i="60"/>
  <c r="F20" i="60"/>
  <c r="F21" i="60"/>
  <c r="F22" i="60"/>
  <c r="F23" i="60"/>
  <c r="F24" i="60"/>
  <c r="F25" i="60"/>
  <c r="F26" i="60"/>
  <c r="F27" i="60"/>
  <c r="F28" i="60"/>
  <c r="F29" i="60"/>
  <c r="F30" i="60"/>
  <c r="F31" i="60"/>
  <c r="F9" i="60"/>
  <c r="F10" i="57"/>
  <c r="F11" i="57"/>
  <c r="F12" i="57"/>
  <c r="F13" i="57"/>
  <c r="F14" i="57"/>
  <c r="F15" i="57"/>
  <c r="F16" i="57"/>
  <c r="F17" i="57"/>
  <c r="F18" i="57"/>
  <c r="F19" i="57"/>
  <c r="F20" i="57"/>
  <c r="F22" i="57"/>
  <c r="F23" i="57"/>
  <c r="F24" i="57"/>
  <c r="F25" i="57"/>
  <c r="F26" i="57"/>
  <c r="F27" i="57"/>
  <c r="F9" i="57"/>
  <c r="F9" i="56"/>
  <c r="F10" i="56" s="1"/>
  <c r="F9" i="50"/>
  <c r="F10" i="48"/>
  <c r="F9" i="48"/>
  <c r="F11" i="47"/>
  <c r="F12" i="47"/>
  <c r="F13" i="47"/>
  <c r="F14" i="47"/>
  <c r="F15" i="47"/>
  <c r="F16" i="47"/>
  <c r="F18" i="47"/>
  <c r="F19" i="47"/>
  <c r="F20" i="47"/>
  <c r="F21" i="47"/>
  <c r="F22" i="47"/>
  <c r="F23" i="47"/>
  <c r="F24" i="47"/>
  <c r="F25" i="47"/>
  <c r="F26" i="47"/>
  <c r="F27" i="47"/>
  <c r="F28" i="47"/>
  <c r="F29" i="47"/>
  <c r="F30" i="47"/>
  <c r="F9" i="47"/>
  <c r="F10" i="45"/>
  <c r="F11" i="45"/>
  <c r="F12" i="45"/>
  <c r="F13" i="45"/>
  <c r="F14" i="45"/>
  <c r="F15" i="45"/>
  <c r="F16" i="45"/>
  <c r="F17" i="45"/>
  <c r="F18" i="45"/>
  <c r="F19" i="45"/>
  <c r="F20" i="45"/>
  <c r="F21" i="45"/>
  <c r="F9" i="45"/>
  <c r="F9" i="36"/>
  <c r="F10" i="34"/>
  <c r="F9" i="34"/>
  <c r="F9" i="33"/>
  <c r="F10" i="32"/>
  <c r="F15" i="32"/>
  <c r="F13" i="32"/>
  <c r="F14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32" i="32"/>
  <c r="F33" i="32"/>
  <c r="F31" i="32"/>
  <c r="F34" i="32"/>
  <c r="F35" i="32"/>
  <c r="F37" i="32"/>
  <c r="F36" i="32"/>
  <c r="F38" i="32"/>
  <c r="F39" i="32"/>
  <c r="F41" i="32"/>
  <c r="F40" i="32"/>
  <c r="F42" i="32"/>
  <c r="F43" i="32"/>
  <c r="F44" i="32"/>
  <c r="F45" i="32"/>
  <c r="F46" i="32"/>
  <c r="F47" i="32"/>
  <c r="F48" i="32"/>
  <c r="F49" i="32"/>
  <c r="F50" i="32"/>
  <c r="F51" i="32"/>
  <c r="F52" i="32"/>
  <c r="F53" i="32"/>
  <c r="F55" i="32"/>
  <c r="F56" i="32"/>
  <c r="F9" i="32"/>
  <c r="F10" i="30"/>
  <c r="F11" i="30"/>
  <c r="F12" i="30"/>
  <c r="F13" i="30"/>
  <c r="F14" i="30"/>
  <c r="F15" i="30"/>
  <c r="F16" i="30"/>
  <c r="F17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9" i="30"/>
  <c r="F9" i="29"/>
  <c r="F10" i="28"/>
  <c r="F11" i="28"/>
  <c r="F12" i="28"/>
  <c r="F9" i="28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F64" i="26"/>
  <c r="F65" i="26"/>
  <c r="F66" i="26"/>
  <c r="F67" i="26"/>
  <c r="F68" i="26"/>
  <c r="F69" i="26"/>
  <c r="F70" i="26"/>
  <c r="F71" i="26"/>
  <c r="F72" i="26"/>
  <c r="F73" i="26"/>
  <c r="F74" i="26"/>
  <c r="F75" i="26"/>
  <c r="F76" i="26"/>
  <c r="F77" i="26"/>
  <c r="F78" i="26"/>
  <c r="F9" i="26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40" i="25"/>
  <c r="F36" i="25"/>
  <c r="F43" i="25"/>
  <c r="F41" i="25"/>
  <c r="F42" i="25"/>
  <c r="F44" i="25"/>
  <c r="F45" i="25"/>
  <c r="F46" i="25"/>
  <c r="F47" i="25"/>
  <c r="F9" i="25"/>
  <c r="F10" i="24"/>
  <c r="F9" i="24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F99" i="22"/>
  <c r="F100" i="22"/>
  <c r="F101" i="22"/>
  <c r="F102" i="22"/>
  <c r="F103" i="22"/>
  <c r="F104" i="22"/>
  <c r="F105" i="22"/>
  <c r="F106" i="22"/>
  <c r="F107" i="22"/>
  <c r="F108" i="22"/>
  <c r="F109" i="22"/>
  <c r="F110" i="22"/>
  <c r="F111" i="22"/>
  <c r="F112" i="22"/>
  <c r="F113" i="22"/>
  <c r="F114" i="22"/>
  <c r="F115" i="22"/>
  <c r="F116" i="22"/>
  <c r="F117" i="22"/>
  <c r="F118" i="22"/>
  <c r="F119" i="22"/>
  <c r="F120" i="22"/>
  <c r="F121" i="22"/>
  <c r="F122" i="22"/>
  <c r="F123" i="22"/>
  <c r="F124" i="22"/>
  <c r="F125" i="22"/>
  <c r="F126" i="22"/>
  <c r="F127" i="22"/>
  <c r="F128" i="22"/>
  <c r="F129" i="22"/>
  <c r="F130" i="22"/>
  <c r="F131" i="22"/>
  <c r="F132" i="22"/>
  <c r="F133" i="22"/>
  <c r="F134" i="22"/>
  <c r="F135" i="22"/>
  <c r="F136" i="22"/>
  <c r="F137" i="22"/>
  <c r="F138" i="22"/>
  <c r="F139" i="22"/>
  <c r="F140" i="22"/>
  <c r="F141" i="22"/>
  <c r="F142" i="22"/>
  <c r="F143" i="22"/>
  <c r="F144" i="22"/>
  <c r="F145" i="22"/>
  <c r="F146" i="22"/>
  <c r="F147" i="22"/>
  <c r="F148" i="22"/>
  <c r="F149" i="22"/>
  <c r="F150" i="22"/>
  <c r="F151" i="22"/>
  <c r="F152" i="22"/>
  <c r="F153" i="22"/>
  <c r="F154" i="22"/>
  <c r="F155" i="22"/>
  <c r="F156" i="22"/>
  <c r="F157" i="22"/>
  <c r="F158" i="22"/>
  <c r="F159" i="22"/>
  <c r="F160" i="22"/>
  <c r="F161" i="22"/>
  <c r="F162" i="22"/>
  <c r="F163" i="22"/>
  <c r="F164" i="22"/>
  <c r="F165" i="22"/>
  <c r="F166" i="22"/>
  <c r="F167" i="22"/>
  <c r="F168" i="22"/>
  <c r="F169" i="22"/>
  <c r="F170" i="22"/>
  <c r="F171" i="22"/>
  <c r="F172" i="22"/>
  <c r="F9" i="22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9" i="18"/>
  <c r="F10" i="18"/>
  <c r="F11" i="18"/>
  <c r="F12" i="18"/>
  <c r="F13" i="18"/>
  <c r="F14" i="18"/>
  <c r="F9" i="19"/>
  <c r="F9" i="14"/>
  <c r="F9" i="1"/>
  <c r="F10" i="83"/>
  <c r="F13" i="86" l="1"/>
  <c r="F12" i="67"/>
  <c r="F16" i="69"/>
  <c r="F12" i="79"/>
  <c r="F49" i="68"/>
  <c r="F39" i="60"/>
  <c r="F28" i="57"/>
  <c r="F43" i="64"/>
  <c r="F66" i="72"/>
  <c r="F27" i="76"/>
  <c r="F41" i="62"/>
  <c r="F21" i="61"/>
  <c r="F10" i="50"/>
  <c r="F11" i="48"/>
  <c r="F31" i="47"/>
  <c r="F27" i="45"/>
  <c r="F10" i="36"/>
  <c r="F11" i="34"/>
  <c r="F10" i="33"/>
  <c r="F60" i="32"/>
  <c r="F41" i="30"/>
  <c r="F10" i="29"/>
  <c r="F13" i="28"/>
  <c r="F80" i="26"/>
  <c r="F67" i="25"/>
  <c r="F11" i="24"/>
  <c r="F36" i="23" l="1"/>
  <c r="F184" i="22"/>
  <c r="F31" i="21"/>
  <c r="F22" i="20"/>
  <c r="F10" i="19"/>
  <c r="F15" i="18"/>
  <c r="F35" i="14" l="1"/>
  <c r="F34" i="14"/>
  <c r="F33" i="14"/>
  <c r="F32" i="14"/>
  <c r="F31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19" i="13"/>
  <c r="F18" i="13"/>
  <c r="F17" i="13"/>
  <c r="F15" i="13"/>
  <c r="F14" i="13"/>
  <c r="F10" i="13"/>
  <c r="F9" i="13"/>
  <c r="F12" i="13"/>
  <c r="F11" i="13"/>
  <c r="F13" i="13"/>
  <c r="F39" i="12"/>
  <c r="F40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15" i="12"/>
  <c r="F14" i="12"/>
  <c r="F13" i="12"/>
  <c r="F12" i="12"/>
  <c r="F11" i="12"/>
  <c r="F10" i="12"/>
  <c r="F9" i="12"/>
  <c r="F17" i="10"/>
  <c r="F16" i="10"/>
  <c r="F15" i="10"/>
  <c r="F14" i="10"/>
  <c r="F13" i="10"/>
  <c r="F12" i="10"/>
  <c r="F11" i="10"/>
  <c r="F10" i="10"/>
  <c r="F9" i="10"/>
  <c r="F18" i="9"/>
  <c r="F19" i="9"/>
  <c r="F20" i="9"/>
  <c r="F17" i="9"/>
  <c r="F16" i="9"/>
  <c r="F15" i="9"/>
  <c r="F14" i="9"/>
  <c r="F13" i="9"/>
  <c r="F12" i="9"/>
  <c r="F11" i="9"/>
  <c r="F10" i="9"/>
  <c r="F9" i="9"/>
  <c r="F9" i="7"/>
  <c r="F14" i="7" s="1"/>
  <c r="F13" i="5"/>
  <c r="F14" i="5"/>
  <c r="F12" i="5"/>
  <c r="F35" i="5"/>
  <c r="F34" i="5"/>
  <c r="F33" i="5"/>
  <c r="F31" i="5"/>
  <c r="F29" i="5"/>
  <c r="F30" i="5"/>
  <c r="F28" i="5"/>
  <c r="F26" i="5"/>
  <c r="F25" i="5"/>
  <c r="F22" i="5"/>
  <c r="F24" i="5"/>
  <c r="F23" i="5"/>
  <c r="F21" i="5"/>
  <c r="F19" i="5"/>
  <c r="F17" i="5"/>
  <c r="F16" i="5"/>
  <c r="F15" i="5"/>
  <c r="F9" i="5"/>
  <c r="F11" i="5"/>
  <c r="F10" i="5"/>
  <c r="F9" i="4"/>
  <c r="F10" i="4"/>
  <c r="F11" i="4"/>
  <c r="F12" i="4" s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6" i="1" l="1"/>
  <c r="F18" i="10"/>
  <c r="F21" i="9"/>
  <c r="F36" i="14"/>
  <c r="F27" i="13"/>
  <c r="F41" i="12"/>
  <c r="F37" i="5"/>
</calcChain>
</file>

<file path=xl/sharedStrings.xml><?xml version="1.0" encoding="utf-8"?>
<sst xmlns="http://schemas.openxmlformats.org/spreadsheetml/2006/main" count="4661" uniqueCount="1375">
  <si>
    <t>L.p.</t>
  </si>
  <si>
    <t>j.m.</t>
  </si>
  <si>
    <t>Ilość</t>
  </si>
  <si>
    <t>C.j. brutto</t>
  </si>
  <si>
    <t>1.</t>
  </si>
  <si>
    <t>2.</t>
  </si>
  <si>
    <t>3.</t>
  </si>
  <si>
    <t>Stawka podatku VAT</t>
  </si>
  <si>
    <t>Wartość netto</t>
  </si>
  <si>
    <t>C.j. netto</t>
  </si>
  <si>
    <t xml:space="preserve">Producent </t>
  </si>
  <si>
    <t>Kod EAN</t>
  </si>
  <si>
    <t>Nazwa handlowa, dawka, postać , ilość w opakowaniu</t>
  </si>
  <si>
    <t>Wartość brutto</t>
  </si>
  <si>
    <t>Zadanie nr 1</t>
  </si>
  <si>
    <t>Nazwa, postać, dawka</t>
  </si>
  <si>
    <t>op.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</si>
  <si>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</si>
  <si>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</si>
  <si>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</si>
  <si>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</si>
  <si>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</si>
  <si>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</si>
  <si>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</si>
  <si>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</si>
  <si>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</si>
  <si>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4.</t>
  </si>
  <si>
    <t>5.</t>
  </si>
  <si>
    <t>Acetylcysteine -roztwór do wstrz. doż. (300 mg/3 ml)x 5 amp. 3 ml</t>
  </si>
  <si>
    <t>op</t>
  </si>
  <si>
    <t>Acetylcysteine- tabl. musujące (200 mg)x 20 szt.</t>
  </si>
  <si>
    <t>Acetylcysteine- tabl. musujące (600 mg)x 10 szt.</t>
  </si>
  <si>
    <t>6.</t>
  </si>
  <si>
    <t xml:space="preserve">Aluminium acetotartrate-  żel 1% 75 g </t>
  </si>
  <si>
    <t>7.</t>
  </si>
  <si>
    <t>Amlodipine  5   tabl. 5 mg x30</t>
  </si>
  <si>
    <t>8.</t>
  </si>
  <si>
    <t>Amlodipine 10   tabl. 0,01 g x30</t>
  </si>
  <si>
    <t>9.</t>
  </si>
  <si>
    <t>Amoxicillin   tabl.powl. 0.5 g x 16</t>
  </si>
  <si>
    <t>10.</t>
  </si>
  <si>
    <t>Amoxicillin   tabl.powl. 1 g x 16</t>
  </si>
  <si>
    <t>11.</t>
  </si>
  <si>
    <t xml:space="preserve">Amoxicillin/Clavulanic acid -  prosz.do sp.zaw.doust.457mg/5ml x70ml </t>
  </si>
  <si>
    <t>fl.</t>
  </si>
  <si>
    <t>12.</t>
  </si>
  <si>
    <t>Amoxicillin/Clavulanic acid -  tabl.powl. 0,625 g x 14</t>
  </si>
  <si>
    <t>13.</t>
  </si>
  <si>
    <t>14.</t>
  </si>
  <si>
    <t>15.</t>
  </si>
  <si>
    <t>16.</t>
  </si>
  <si>
    <t>Bacitracin,Neomycin- maść tuba 20 g</t>
  </si>
  <si>
    <t>17.</t>
  </si>
  <si>
    <t>Bisoprolol fumarate tabl.powl. 5 mg x30</t>
  </si>
  <si>
    <t>18.</t>
  </si>
  <si>
    <t xml:space="preserve">Cefuroxime axetil   tabl.powl. 0,5 g x10 </t>
  </si>
  <si>
    <t>19.</t>
  </si>
  <si>
    <t>20.</t>
  </si>
  <si>
    <t>Clindamycin- kaps. (300 mg)x 16 szt.</t>
  </si>
  <si>
    <t>21.</t>
  </si>
  <si>
    <t xml:space="preserve">DICLOFENAC   tabl.powl. 0.05 g x 50 </t>
  </si>
  <si>
    <t>22.</t>
  </si>
  <si>
    <t xml:space="preserve">DICLOFENAC SODIUM   czop. 0.05 g x 10 </t>
  </si>
  <si>
    <t>23.</t>
  </si>
  <si>
    <t xml:space="preserve">DICLOFENAC SODIUM 100   czop. 0.1 g x 10 </t>
  </si>
  <si>
    <t>24.</t>
  </si>
  <si>
    <t>Diclofenac sodium- roztwór do wstrz. dom. (75 mg/3 ml)  3 ml x 10 amp.</t>
  </si>
  <si>
    <t>25.</t>
  </si>
  <si>
    <t>Ferric hydroxide/ polymaltose complex- syrop (50 mg Fe III/5 ml) but. 100 ml</t>
  </si>
  <si>
    <t>26.</t>
  </si>
  <si>
    <t>Ferric oxide saccharated complex- roztwór do wstrz. i inf. (20 mg Fe III/ml) 5 ml x 5 amp.</t>
  </si>
  <si>
    <t>27.</t>
  </si>
  <si>
    <t xml:space="preserve">FORMOTEROL FUMARATE  prosz.do inh.w kaps. 0,012 mg x 60 </t>
  </si>
  <si>
    <t>28.</t>
  </si>
  <si>
    <t>Ketoprofen - żel (25 mg/g) tuba 50 g</t>
  </si>
  <si>
    <t>29.</t>
  </si>
  <si>
    <t>Ketoprofen- inj. dom. i doż.(100 mg/2 ml) 2 ml x 10 amp.</t>
  </si>
  <si>
    <t>30.</t>
  </si>
  <si>
    <t>Ketoprofen- kaps. twarde (50 mg) x 20 szt.</t>
  </si>
  <si>
    <t>31.</t>
  </si>
  <si>
    <t>Ketoprofen- tabl. powl. (100 mg)x 30 szt.</t>
  </si>
  <si>
    <t>32.</t>
  </si>
  <si>
    <t>Nebivolol - tabl. 5 mg x 28 szt.</t>
  </si>
  <si>
    <t>33.</t>
  </si>
  <si>
    <t>34.</t>
  </si>
  <si>
    <t>Pantoprazole  tabl.powl. 0,04 g x56</t>
  </si>
  <si>
    <t>35.</t>
  </si>
  <si>
    <t>Pantoprazole- tabl. dojelitowe (20 mg)x 56 szt.</t>
  </si>
  <si>
    <t>36.</t>
  </si>
  <si>
    <t>37.</t>
  </si>
  <si>
    <t>38.</t>
  </si>
  <si>
    <t>PIPERACILLIN/TAZOBACTAM inj.doż. 4.5 g x10</t>
  </si>
  <si>
    <t>39.</t>
  </si>
  <si>
    <t>Pregabalin kaps. 75 mg x 56 szt.</t>
  </si>
  <si>
    <t>40.</t>
  </si>
  <si>
    <t>Pregabalin kaps. 150 mg x 56 szt.</t>
  </si>
  <si>
    <t>41.</t>
  </si>
  <si>
    <t>Sugammadex  0,5 g/5 ml  x 10 fiol.</t>
  </si>
  <si>
    <t>42.</t>
  </si>
  <si>
    <t>Torasemide- tabl. (10 mg) x 30 szt.</t>
  </si>
  <si>
    <t>43.</t>
  </si>
  <si>
    <t>Torasemide- tabl. (5 mg) x 30 szt.</t>
  </si>
  <si>
    <t>44.</t>
  </si>
  <si>
    <t>fiol.</t>
  </si>
  <si>
    <t>45.</t>
  </si>
  <si>
    <t>46.</t>
  </si>
  <si>
    <t>fiol</t>
  </si>
  <si>
    <t xml:space="preserve">Voriconazole - proszek do sporz. roztw. do inf. (200 mg) 1 fiolka </t>
  </si>
  <si>
    <t xml:space="preserve">Allopurinol  tabl. 0,1 g x 50 </t>
  </si>
  <si>
    <t xml:space="preserve">Allopurinol  tabl. 0,3 g x 30 </t>
  </si>
  <si>
    <t xml:space="preserve">Amoxicillin/Clavulanic acid -  tabl.powl. 1 g x 14 </t>
  </si>
  <si>
    <t>Pantoprazole do inj.doż. 0,04 g x10 fiol.</t>
  </si>
  <si>
    <t>Wykonawca:</t>
  </si>
  <si>
    <t>NIP:</t>
  </si>
  <si>
    <t>KRS:</t>
  </si>
  <si>
    <t>Osoba do kontaktu:</t>
  </si>
  <si>
    <t>Tel.:</t>
  </si>
  <si>
    <t>email:</t>
  </si>
  <si>
    <t>Suma</t>
  </si>
  <si>
    <t>Podpis</t>
  </si>
  <si>
    <t>Meropenem- proszek do przyg. roztw. do wstrz. i   inf.(1 g) x10 fiol.</t>
  </si>
  <si>
    <t>Meropenem- proszek do przyg. roztw. do wstrz. i  inf.(500 mg)x 10 fiol.</t>
  </si>
  <si>
    <t>Imipenem /Cilastatin sodium  500 mg - proszek do przyg. roztw. do inf.x 10</t>
  </si>
  <si>
    <t>WYMÓG:</t>
  </si>
  <si>
    <t>Poz.1 i 2 -  trwałość po rozpuszczeniu  min. 24 h w temp. 2- 8 stopni C.</t>
  </si>
  <si>
    <t xml:space="preserve">AMPICILLIN   inj. 1 g x1 </t>
  </si>
  <si>
    <t xml:space="preserve">AMPICILLIN   inj. 2 g x1 </t>
  </si>
  <si>
    <t>Amoxicillin/Clavulanic acid -  prosz.do sp.roztw. do wstrz. lub inf. 2,2 g x 1 fiol.</t>
  </si>
  <si>
    <t>BENZYLPENICILLIN   POTASSIUM - inj. 1 000 000 j.m. x 1 fiol.</t>
  </si>
  <si>
    <t>BENZYLPENICILLIN   POTASSIUM - inj. 3 000 000 j.m. x 1 fiol.</t>
  </si>
  <si>
    <t>BENZYLPENICILLIN   POTASSIUM - inj. 5 000 000 j.m. x 1 fiol.</t>
  </si>
  <si>
    <t xml:space="preserve">CLARITHROMYCIN  500   tabl.powl. 0,5 g x14 </t>
  </si>
  <si>
    <t xml:space="preserve">CLOXACILLIN SODIUM    inj. 1 g x1 </t>
  </si>
  <si>
    <t xml:space="preserve">CLOXACILLIN SODIUM    inj. 2 g x1 </t>
  </si>
  <si>
    <t>CLOXACILLIN  -  tabl. powl. 500 mg  x 16 szt</t>
  </si>
  <si>
    <t>COLISTIMETHATE SODIUM  - liof. do sporz. roztw. do wstrz., inf. i inh. 1 000 000 j.m. x 20 fiol.</t>
  </si>
  <si>
    <t>Dexamethasone- aerozol na skórę, zawiesina (0,28 mg/g) 32,5 g (  55 ml)</t>
  </si>
  <si>
    <t>Dobutamine hydrochloride fiolka 250mg x 1</t>
  </si>
  <si>
    <t>DOXYCYCLINE HYDROCHLORIDE  inj. 0.1 g/5ml x10 fiol.</t>
  </si>
  <si>
    <t>Doxycycline - kaps. (100 mg) x10 szt.</t>
  </si>
  <si>
    <t xml:space="preserve">ERYTHROMYCINE tabl.powl. 0,2 g x16 </t>
  </si>
  <si>
    <t xml:space="preserve">NEOMYCIN SULPHATE  tabl. 0.25 g x16 </t>
  </si>
  <si>
    <t>NYSTATIN   susp. 100 000 j.m./ 1 ml  proszek  5 g</t>
  </si>
  <si>
    <t xml:space="preserve">RIFAMPICIN   kaps. 0,3 g x100 </t>
  </si>
  <si>
    <t>AMPICILLIN/SULBACTAM   inj. 0,75g x1 fiol.</t>
  </si>
  <si>
    <t xml:space="preserve">AMPICILLIN/SULBACTAM  inj.1,5 g x1 fiol </t>
  </si>
  <si>
    <t xml:space="preserve">AMPICILLIN/SULBACTAM  inj. 3,0 g x1 fiol </t>
  </si>
  <si>
    <t xml:space="preserve">Fortrans    proszek do sporz. roztw. doustnego 74 g x 48 saszetek </t>
  </si>
  <si>
    <t>Clonazepam- roztwór do wstrz. (1 mg/ml) x10 amp. 1 ml</t>
  </si>
  <si>
    <t>Clonazepam-tabl (0,5mg) x 30</t>
  </si>
  <si>
    <t>Clonazepam-tabl (2mg) x 30</t>
  </si>
  <si>
    <t xml:space="preserve">Diazepam- tabl. (5 mg)x 20 szt. </t>
  </si>
  <si>
    <t>Estazolam- tabl. (2 mg)x 20 szt.</t>
  </si>
  <si>
    <t xml:space="preserve">Lorazepam- draż. (1 mg) x25 szt. </t>
  </si>
  <si>
    <t>Lorazepam- draż. (2,5 mg) x25 szt.</t>
  </si>
  <si>
    <t xml:space="preserve">Lormetazepam- tabl. (1 mg) x20 szt. </t>
  </si>
  <si>
    <t>GliclazideMR 60 mg x 90 tabl.</t>
  </si>
  <si>
    <t>Indapamide SR 1,5 mg x 108 tabl.</t>
  </si>
  <si>
    <t>Ivabradine  tabl. 5 mg x 112</t>
  </si>
  <si>
    <t>Ivabradine  tabl.7,5 mg x 112</t>
  </si>
  <si>
    <t>Perindopril argin. 10 mg x 90 tabl.</t>
  </si>
  <si>
    <t>Perindopril argin. 5 mg x 90 tabl.</t>
  </si>
  <si>
    <t>Perindopril argin.+Amlodipine 5mg/5mg x 90 tabl.</t>
  </si>
  <si>
    <t>Perindopril argin.+Amlodipine 5mg/10mg x 90 tabl.</t>
  </si>
  <si>
    <t>Perindopril argin.+Amlodipine 10mg/5mg x 90 tabl.</t>
  </si>
  <si>
    <t>Perindopril argin.+ Amlodipine 10mg/10mg x 90 tabl.</t>
  </si>
  <si>
    <t>Tianeptine sodium  12,5 mg x 108 tabl.</t>
  </si>
  <si>
    <t>Trimetazidine  MR 35 mg x 90 tabl.</t>
  </si>
  <si>
    <t>Bencyclane fumarate - tabl. (100 mg)x 60 szt.</t>
  </si>
  <si>
    <t>GLYCERYL  TRINITRATE  aerosol.do st.podjęzk. 0,4 mg/daw. x 200 D.</t>
  </si>
  <si>
    <t xml:space="preserve">METHYLDOPA  tabl. 0.25 g x 50 </t>
  </si>
  <si>
    <t>NITRENDIPINE    tabl. 0.01 g x 30</t>
  </si>
  <si>
    <t xml:space="preserve">NITRENDIPINE   tabl. 0.02 g x 30 </t>
  </si>
  <si>
    <t xml:space="preserve">POTASSIUM CHLORIDE kaps.o przedłuż..uwal. 0,6 g x100 </t>
  </si>
  <si>
    <t xml:space="preserve">POVIDONE-IODINE  10%   maść   20 g </t>
  </si>
  <si>
    <t>Povidone-Iodine -roztw na skórę(100mg/ml) but.1000 ml</t>
  </si>
  <si>
    <t xml:space="preserve">Povidone-Iodine- globulki dopochwowe (200 mg) x 7 szt. </t>
  </si>
  <si>
    <t>ADENOSINE  inj. 6 mg/2ml x 6</t>
  </si>
  <si>
    <t xml:space="preserve">AMIODARONE HYDROCHLORIDE   inj. 0.15 g/3ml x 6 </t>
  </si>
  <si>
    <t xml:space="preserve">AMIODARONE HYDROCHLORIDE  tabl.powl. 0.2 g x 30 </t>
  </si>
  <si>
    <t>AMISULPRIDE - tabl. (200 mg) x 30 szt.</t>
  </si>
  <si>
    <t>AMISULPRIDE - tabl. powl. (400 mg) x 30 szt.</t>
  </si>
  <si>
    <t>CLOPIDOGREL- tabl. powl. (300 mg) x 30 szt.</t>
  </si>
  <si>
    <t xml:space="preserve">Felodipine / Ramipril- tabl. powl. 2,5  x 28 szt. </t>
  </si>
  <si>
    <t xml:space="preserve">Felodipine / Ramipril- tabl. powl. 5  x 28 szt. </t>
  </si>
  <si>
    <t xml:space="preserve">GLIMEPIRIDE  2  tabl. 2 mg x 30 </t>
  </si>
  <si>
    <t>GLIMEPIRIDE  3  tabl. 3 mg x 30</t>
  </si>
  <si>
    <t>GLIMEPIRIDE  4  tabl. 4 mg x 30</t>
  </si>
  <si>
    <t>Insulin lispro - roztw. do wstrz. (100 j.m./ml) 10 wstrzyk. 3 ml SoloStar</t>
  </si>
  <si>
    <t>Insulin aspart - roztw. do wstrz. (100 j.m./ml) 10 wstrzyk. 3 ml SoloStar</t>
  </si>
  <si>
    <t>Insulinum glarginum + Lixisenatidum , roztwór do wstrzykiwań, 100+33 j/ml+mcg/ml -   3 wstrzykiwacze po 3 ml</t>
  </si>
  <si>
    <t>Insulinum glarginum + Lixisenatidum , roztwór do wstrzykiwań, 100+50 j/ml+mcg/ml -   3 wstrzykiwacze po 3 ml</t>
  </si>
  <si>
    <t>RAMIPRIL - tabl. (10 mg) x 28 szt.</t>
  </si>
  <si>
    <t>RAMIPRIL - tabl. (2,5 mg) x 28 szt.</t>
  </si>
  <si>
    <t>RAMIPRIL - tabl. (5 mg) x 28 szt.</t>
  </si>
  <si>
    <t>Rasburicase- proszek i rozp. do przyg. konc. do sporz. roztw. do inf. (1,5 mg) 3 fiolki + 3 amp. rozp. 1 ml</t>
  </si>
  <si>
    <t>RESONIUM A   prosz. 454 g</t>
  </si>
  <si>
    <t xml:space="preserve">TEICOPLANIN   liof.do inj. 0.2 g x1 </t>
  </si>
  <si>
    <t xml:space="preserve">TEICOPLANIN   liof.do inj. 0.4 g x1 </t>
  </si>
  <si>
    <t>Valproate sodium + Valproic acid granulat o przedł. Uwalnianiu  500 mg x  30 sasz.</t>
  </si>
  <si>
    <t>Valproate sodium + Valproic acid granulat o przedł. Uwalnianiu  750 mg x  30 sasz.</t>
  </si>
  <si>
    <t xml:space="preserve">Valproate sodium- inj. (400 mg/4 ml) x 1 fiol. </t>
  </si>
  <si>
    <t>VALPROIC ACID- tabl. powl. o przedł. uwalnianiu (300 mg)x 30</t>
  </si>
  <si>
    <t>VALPROIC ACID- tabl. powl. o przedł. uwalnianiu (500 mg)x 30</t>
  </si>
  <si>
    <t>INSULIN GLARGINE-  roztw. do wstrz. we wstrzykiwaczu (300 j./ml) 10 wstrzyk. 1,5ml SoloStar</t>
  </si>
  <si>
    <t>INSULIN GLARGINE-  roztw. do wstrz. (100 j./ml) 5 wstrzyk. 3 ml SoloStar</t>
  </si>
  <si>
    <t>INSULIN GLULISINE -  roztw. do wstrz. (100 j./ml) 5 wstrzyk. 3 ml SoloStar</t>
  </si>
  <si>
    <t xml:space="preserve">Leflunomide -  tabl. powl. (20 mg) 30 szt. </t>
  </si>
  <si>
    <t>Azithromycin - proszek do sporz. zaw. doustnej, 200 mg/5 ml , but. 20 ml</t>
  </si>
  <si>
    <t>Azithromycin -  tabl. powl. 250 mg x 6 szt</t>
  </si>
  <si>
    <t>Azithromycin -  tabl. powl. 500 mg x 3 szt.</t>
  </si>
  <si>
    <t>Alfacalcidol  - kaps. miękkie 0,25 µg x 100 szt.</t>
  </si>
  <si>
    <t>Alfacalcidol - kaps. miękkie 1 µg x m100 szt.</t>
  </si>
  <si>
    <t xml:space="preserve">Budesonide - zaw. do nebulizacji, 500 µg/ml 20 amp. 2 ml </t>
  </si>
  <si>
    <t>Clonidine hydrochloride  tabl.  0,075 mg x 50 tabl.</t>
  </si>
  <si>
    <t xml:space="preserve">Dimetindene maleate - krople doustne, roztw.1 mg/ml, but. 20 ml </t>
  </si>
  <si>
    <t xml:space="preserve">Thiamazole   tabl. 5 mg x 50 </t>
  </si>
  <si>
    <t>Vortioxetine  - tabl.powl. 10 mg x 28 tabl.</t>
  </si>
  <si>
    <t>Zadanie nr 11</t>
  </si>
  <si>
    <t>Pierwiastki śladowe -koncentrat do sporządzania roztworu do infuzji - 9 pierwiastków w 10 ml  x 10 amp.</t>
  </si>
  <si>
    <t>Aminokwasy do leczenia żywieniowego pozajelitowego noworodków urodzonych przedwcześnie z glukozą, elektrolitami i emulsją tłuszczową w workach RTU trójkomorowych, 300ml. 5,9% roztwór aminokwasów z elektrolitami - 160 ml, 50% roztwór glukozy - 80 ml, 12,5% emulsja tłuszczowa - 60 ml x 10 szt.</t>
  </si>
  <si>
    <t>Koncentrat pierwiastków śladowych (Zn 100 µg/ml,  Cu 20 µg /ml, Mn 0,5 µg/ml, Jod 1 µg/ml, Selen 2 µg/ml) do żywienia pozajelitowego u wcześniaków, noworodków, niemowląt i dzieci x 10 fiol.</t>
  </si>
  <si>
    <t>Worek dwukomorowy do żywienia pozajelitowego do podawania obwodowo lub centralnie, zawierający aminokwasy, glukozę i elektrolity o zawartości azotu 6,8 g i energia niebiałkowej  450 kcal, objętość 1500 ml x 6 szt.</t>
  </si>
  <si>
    <t>Worek trzykomorowy do żywienia pozajelitowego do podawania obwodowo lub centralnie , zawierający aminokwasy, glukozę i emulsję tłuszczową (80% oleju z oliwek i 20% oleju sojowego). Zawartości azotu 4g i energia niebiałkowa 600 kcal, objętośc 1000 ml  x 6 szt.</t>
  </si>
  <si>
    <t>Worek trzykomorowy do żywienia pozajelitowego  do podawania   obwodowo i centralnie , zawierający  elektrolity, aminokwasy,  glukozę i emulsję tłuszczową (20% oleju rybiego, 25%oleju z oliwek i 30% oleju sojowego,25% oleju kokosowego). Zawartości azotu 5,6 g, aminokwasów 34 g i energia całkowita 751 kcal, objętośc 1085 ml x 4 szt.</t>
  </si>
  <si>
    <t>Worek trzykomorowy do żywienia pozajelitowego do podawania obwodowo lub centralnie, zawierający aminokwasy, glukozę i emulsję tłuszczową (80% oleju z oliwek i 20% oleju sojowego). Zawartości azotu  6 g i energia niebiałkowa 900 kcal, objętośc 1500 ml x 4 szt.</t>
  </si>
  <si>
    <t>Worek trzykomorowy do żywienia pozajelitowego do podawania obwodowo lub centralnie, zawierający aminokwasy, glukozę i emulsję tłuszczową (80% oleju z oliwek i 20% oleju sojowego). Zawartości azotu  8 g i energia niebiałkowa 1200 kcal, objętośc 2000 ml x 4 szt.</t>
  </si>
  <si>
    <t>Worek trzykomorowy do żywienia pozajelitowego  do podawania  centralnie , zawierający  elektrolity, aminokwasy,  glukozę i emulsję tłuszczową (20% oleju rybiego, 25%oleju z oliwek i 30% oleju sojowego,25% oleju kokosowego). Zawartości azotu 9,1 g, aminokwasów 55 g i energia całkowita 1184 kcal, objętośc 1085 ml x 4 szt.</t>
  </si>
  <si>
    <t>Worek trzykomorowy do żywienia pozajelitowego  do podawania  centralnie,  zawierający aminokwasy,  glukozę i emulsję tłuszczową (80% oleju z oliwek i 20% oleju sojowegoo). Zawartości azotu 7 g i energia niebiałkowa 960 kcal, objętośc 1000 ml x 6 szt.</t>
  </si>
  <si>
    <t>Worek trzykomorowy do żywienia pozajelitowego  do podawania  centralnie,  zawierający aminokwasy,  glukozę i emulsję tłuszczową (80% oleju z oliwek i 20% oleju sojowegoo). Zawartości azotu 10,5 g i energia niebiałkowa 1440 kcal, objętośc 1500 ml x 4 szt.</t>
  </si>
  <si>
    <t>Worek trzykomorowy do żywienia pozajelitowego  do podawania  centralnie,  zawierający aminokwasy,  glukozę i emulsję tłuszczową (80% oleju z oliwek i 20% oleju sojowegoo). Zawartości azotu 14 g i energia niebiałkowa 1920 kcal, objętośc 2000 ml x 4 szt.</t>
  </si>
  <si>
    <t>Worek trzykomorowy do żywienia pozajelitowego  do podawania  centralnie,  zawierający aminokwasy,  glukozę i emulsję tłuszczową (80% oleju z oliwek i 20% oleju sojowegoo). Zawartości azotu 9 g i energia niebiałkowa 840 kcal, objętośc 1000 ml x 6 szt.</t>
  </si>
  <si>
    <t>Worek trzykomorowy do żywienia pozajelitowego  do podawania  centralnie,  zawierający aminokwasy,  glukozę i emulsję tłuszczową (80% oleju z oliwek i 20% oleju sojowegoo). Zawartości azotu 13,5 g i energia niebiałkowa 1260 kcal, objętośc 1500 ml x 4 szt.</t>
  </si>
  <si>
    <t>Worek trzykomorowy do żywienia pozajelitowego bez elektrolitów do podawania  centralnie,  zawierający aminokwasy,  glukozę i emulsję tłuszczową (80% oleju z oliwek i 20% oleju sojowegoo). Zawartości azotu 13,5 g i energia niebiałkowa 1260 kcal, objętośc 1500 ml x 4 szt.</t>
  </si>
  <si>
    <t>Worek trzykomorowy do żywienia pozajelitowego  do podawania  centralnie,  zawierający aminokwasy,  glukozę i emulsję tłuszczową (80% oleju z oliwek i 20% oleju sojowegoo). Zawartości azotu 7,8 g i energia niebiałkowa 420 kcal, objętośc 650 ml x 10 szt.</t>
  </si>
  <si>
    <t>Worek trzykomorowy do żywienia pozajelitowego  do podawania  centralnie,  zawierający aminokwasy,  glukozę i emulsję tłuszczową (80% oleju z oliwek i 20% oleju sojowegoo). Zawartości azotu 12 g i energia niebiałkowa 640 kcal, objętośc 1000 ml x 6 szt.</t>
  </si>
  <si>
    <t>Worek trzykomorowy do żywienia pozajelitowego  do podawania  centralnie,  zawierający aminokwasy,  glukozę i emulsję tłuszczową (80% oleju z oliwek i 20% oleju sojowegoo). Zawartości azotu 18 g i energia niebiałkowa 960 kcal, objętośc 1500 ml x 4 szt.</t>
  </si>
  <si>
    <t>Worek trzykomorowy do żywienia pozajelitowego  do podawania  i centralnie , zawierający  elektrolity, aminokwasy,  glukozę i emulsję tłuszczową (20% oleju rybiego, 25%oleju z oliwek i 30% oleju sojowego,25% oleju kokosowego). Zawartości azotu 12 g, aminokwasów 73  g i energia całkowita 1567 kcal, objętośc 1435 ml x 4 szt.</t>
  </si>
  <si>
    <t>Witaminy rozpuszczalne w tłuszczach i w wodzie 12 witamin 0,75g  fiol. x 1</t>
  </si>
  <si>
    <t>METHYLPREDNISOLONE   tabl. 16 mg x 30</t>
  </si>
  <si>
    <t xml:space="preserve">METHYLPREDNISOLONE   tabl. 4 mg x 30 </t>
  </si>
  <si>
    <t xml:space="preserve">METHYLPREDNISOLONE   tabl. 8 mg x 30 </t>
  </si>
  <si>
    <t xml:space="preserve">METHYLPREDNISOLONE HEMISUCCINATE   inj. 1g/10 ml x 1 </t>
  </si>
  <si>
    <t xml:space="preserve">METHYLPREDNISOLONE HEMISUCCINATE   inj. 250 mg/5 ml x 1 </t>
  </si>
  <si>
    <t xml:space="preserve">Dexamethasoni phosphate - roztw. do wstrz. (4 mg/ml) 5 amp. 1 ml </t>
  </si>
  <si>
    <t>Zadanie nr 12</t>
  </si>
  <si>
    <t>Zadanie nr 13</t>
  </si>
  <si>
    <t>Zadanie nr 14</t>
  </si>
  <si>
    <t>Zadanie nr 15</t>
  </si>
  <si>
    <t xml:space="preserve">Surfactant -  zawiesina do stos. dotchawiczego i dooskrzelowego (120 mg/1,5 ml) 2 fiolki 1,5 ml </t>
  </si>
  <si>
    <t>Zadanie nr 16</t>
  </si>
  <si>
    <t>Cefepime dihydrochloride- proszek do sporz. roztw. do wstrz. (1 g) 1 fiol. x 10</t>
  </si>
  <si>
    <t xml:space="preserve">Cefepime dihydrochloride- proszek do sporz. roztw. do wstrz. (2 g) 1 fiol. x 10 </t>
  </si>
  <si>
    <t xml:space="preserve">CEFOPERAZONE  inj. 1g x1 </t>
  </si>
  <si>
    <t>Cefuroxime axetil- granulat do przyg. zaw. doustnej (125 mg/5 ml) but. 100 ml</t>
  </si>
  <si>
    <t>Cefuroxime axetil- granulat do przyg. zaw. doustnej (250 mg/5 ml) but. 50 ml</t>
  </si>
  <si>
    <t xml:space="preserve">CLARITHROMYCIN   gran.do p.zaw.doust. 0,125 g/5ml  60 ml </t>
  </si>
  <si>
    <t xml:space="preserve">CO-TRIMOXAZOLE - zawiesina doustna (240 mg/5 ml) but. 100 ml </t>
  </si>
  <si>
    <t xml:space="preserve">NEOMYCIN SULPHATE  0.5%   maść oczna  3 g </t>
  </si>
  <si>
    <t xml:space="preserve">NYSTATIN    tabl.dopoch. 100.000 j.m.. x10 </t>
  </si>
  <si>
    <t xml:space="preserve">NYSTATIN   tabl. 500.000 j.m. x16 </t>
  </si>
  <si>
    <t xml:space="preserve">PREP.ZŁOŻ. ( CHLORQUINALDOL,  METRONIDAZOLE )  tabl.dopoch. x 10  </t>
  </si>
  <si>
    <t>LINCOMYCIN roztw. do wstrz. i inf. (300 mg/ml) 1 amp. 2 ml x 1 fiol.</t>
  </si>
  <si>
    <t>Zadanie nr 17</t>
  </si>
  <si>
    <t xml:space="preserve">CILAZAPRIL   tabl.powl. 1 mg x 30 </t>
  </si>
  <si>
    <t xml:space="preserve">CILAZAPRIL   tabl.powl. 5 mg x 30 </t>
  </si>
  <si>
    <t>CILAZAPRIL  tabl.powl. 2,5 mg x 30</t>
  </si>
  <si>
    <t>Dexamethasone  - tabl. 4 mg  x 20</t>
  </si>
  <si>
    <t>Dexamethasone  - tabl. 8 mg  x 20</t>
  </si>
  <si>
    <t>Dexamethasone  - tabl. 20 mg  x 20</t>
  </si>
  <si>
    <t>Dexamethasone  - tabl. 40 mg  x 20</t>
  </si>
  <si>
    <t>GENTAMICIN SULPHATE  inj.dom.i doż. 0.08 g/2ml x10 amp.</t>
  </si>
  <si>
    <t>LANSOPRAZOLE   kaps. 0,03 g x28</t>
  </si>
  <si>
    <t>LETROZOLE -  tabl. powl. (2,5 mg) 30 szt.</t>
  </si>
  <si>
    <t xml:space="preserve">LEVOFLOXACIN- tabl. powl. (250 mg) x 10 szt. </t>
  </si>
  <si>
    <t xml:space="preserve">LEVOFLOXACIN- tabl. powl. (500 mg) x 10 szt. </t>
  </si>
  <si>
    <t xml:space="preserve">LOSARTANUM -  tabl. powl. (50 mg) x 28 szt. </t>
  </si>
  <si>
    <t xml:space="preserve">MIRTAZAPINE - tabl. powl. (30 mg)x 30 szt. </t>
  </si>
  <si>
    <t xml:space="preserve">MIRTAZAPINE - tabl. ulegające rozpadowi w jamie ustnej (30 mg)x 30 szt. </t>
  </si>
  <si>
    <t xml:space="preserve">SULFASALAZINE  EN   tabl.powl. 0.5 g x 100 </t>
  </si>
  <si>
    <t>TAMSULOSIN hydrochloride - kaps. o zmodyf. uwalnianiu (0,4 mg) 30 szt.</t>
  </si>
  <si>
    <t>THIETHYLPERAZINE MALATE inj. 6.5 mg/1ml x 5 amp.</t>
  </si>
  <si>
    <t xml:space="preserve">op </t>
  </si>
  <si>
    <t xml:space="preserve">THIETHYLPERAZINE MALATE  czop. 6.5 mg x 6 </t>
  </si>
  <si>
    <t xml:space="preserve">THIETHYLPERAZINE MALATE  tabl.powl. 6.5 mg x 50 </t>
  </si>
  <si>
    <t>ZIPRASIDONE - kaps.twarde  (80 mg) 56 szt.</t>
  </si>
  <si>
    <t>ZIPRASIDONE - kaps.twarde (40 mg) 56 szt.</t>
  </si>
  <si>
    <t>Zadanie nr 19</t>
  </si>
  <si>
    <t xml:space="preserve">ACENOCOUMAROL tabl. 4 mg x 60 </t>
  </si>
  <si>
    <t xml:space="preserve">ACETYLSALICYLIC ACID  tabl. powl. 0,15 g x 60 </t>
  </si>
  <si>
    <t xml:space="preserve">ACETYLSALICYLIC ACID tabl.powl. 0.075 g x 60 </t>
  </si>
  <si>
    <t>Acetylsalicylic acid S - tabl. (300 mg)x 20 szt.</t>
  </si>
  <si>
    <t xml:space="preserve">ACICLOVIR    tabl. 0.4g  x 30 </t>
  </si>
  <si>
    <t>AMIKACIN- krople do oczu (3 mg/ml) but. 5 ml  0,3%</t>
  </si>
  <si>
    <t xml:space="preserve">AMIKACIN SULPHATE   inj.  0.25 g/2 ml x1 </t>
  </si>
  <si>
    <t>amp</t>
  </si>
  <si>
    <t>AMIKACIN SULPHATE   inj. 1 g/4 ml x 1</t>
  </si>
  <si>
    <t>AQUA pro inject. 10 ml x 100 amp.</t>
  </si>
  <si>
    <t>ARIPIPRAZOLE - tabl. (15 mg)x 28 szt.</t>
  </si>
  <si>
    <t>ATORVASTATIN- tabl. powl. (20 mg) 30 szt.</t>
  </si>
  <si>
    <t>ATORVASTATIN- tabl. powl. (40 mg) 30 szt.</t>
  </si>
  <si>
    <t xml:space="preserve">ATROPINE SULPHATE  inj. 0.5 mg/1ml x 10  </t>
  </si>
  <si>
    <t xml:space="preserve">ATROPINE SULPHATE  inj. 1 mg/1ml x 10 </t>
  </si>
  <si>
    <t xml:space="preserve">BACLOFEN   tabl. 0.01 g x 50 </t>
  </si>
  <si>
    <t xml:space="preserve">BACLOFEN  tabl. 0.025 g x 50 </t>
  </si>
  <si>
    <t>BARIUM SULFURICUM susp.200g/200ml   200 ml</t>
  </si>
  <si>
    <t>fl</t>
  </si>
  <si>
    <t>Betahistine dihydrochloride- tabl. (24 mg)x 60 szt.</t>
  </si>
  <si>
    <t>BUDESONIDE  zaw.do nebuliz. 0,125 mg/1ml  2 ml x 20</t>
  </si>
  <si>
    <t>BUDESONIDE  zaw.do nebuliz. 0,250 mg/1ml  2 ml x 20</t>
  </si>
  <si>
    <t>BUPIVACAINE HYDROCHLORIDE   0.5%   inj. 5 mg/1 ml  10 ml x 10 amp.</t>
  </si>
  <si>
    <t>Bupivacaine hydrochloride Spinal 0,5% Heavy - roztw. do wstrz. (5 mg/ml) 5 amp. 4 ml</t>
  </si>
  <si>
    <t xml:space="preserve">CARBAMAZEPINE RETARD  tabl.o przedł.uwaln.( 200 mg) x 50 </t>
  </si>
  <si>
    <t xml:space="preserve">Carbocisteine 5% - syrop (50 mg/ml) but. 120 ml </t>
  </si>
  <si>
    <t>CARVEDILOL  25  tabl. 0,025 g x 30</t>
  </si>
  <si>
    <t xml:space="preserve">CARVEDILOL  6,25  tabl. 6,25 mg x 30 </t>
  </si>
  <si>
    <t xml:space="preserve">CARVEDILOL 12,5  tabl. 0,0125 g x 30 </t>
  </si>
  <si>
    <t>CEFTAZIDIME-    proszek do przyg. roztw. do wstrz. doż. , dom. i inf. (1g) fiol.</t>
  </si>
  <si>
    <t xml:space="preserve">CEFUROXIME SODIUM  inj.doż./dom. 0,75 g x1 </t>
  </si>
  <si>
    <t xml:space="preserve">CEFUROXIME SODIUM inj.doż. 1,5 g x1 </t>
  </si>
  <si>
    <t xml:space="preserve">CETIRIZINE DIHYDROCHLOR.  tabl.powl. 0.01 g x 30 </t>
  </si>
  <si>
    <t xml:space="preserve">CETIRIZINE DIHYDROCHLOR. syrop 5 mg/5ml x 100ml </t>
  </si>
  <si>
    <t xml:space="preserve">CETIRIZINE DIHYDROCHLORIDE  1%   krople 0,01 g/1ml   20ml </t>
  </si>
  <si>
    <t xml:space="preserve">CIPROFLOXACIN  krople do oczu 0,3%  5ml </t>
  </si>
  <si>
    <t xml:space="preserve">Ciprofloxacin- tabl. powl. (250 mg)x 10 szt. </t>
  </si>
  <si>
    <t>Ciprofloxacin- tabl. powl. (500 mg)x 10 szt.</t>
  </si>
  <si>
    <t>CIPROFLOXACIN - roztwór do inf. (2 mg/ml)  100 ml x 40</t>
  </si>
  <si>
    <t>szt</t>
  </si>
  <si>
    <t xml:space="preserve">CIPROFLOXACIN - roztwór do inf. (2 mg/ml)  200 ml x 20 </t>
  </si>
  <si>
    <t xml:space="preserve">CLEMASTINE FUMARATE   tabl. 1 mg x 30 </t>
  </si>
  <si>
    <t xml:space="preserve">CLEMASTINE FUMARATE inj. 2 mg/2ml x 5 </t>
  </si>
  <si>
    <t>47.</t>
  </si>
  <si>
    <t xml:space="preserve">CLEMASTINE FUMARATE syrop 0.01 g/100 ml </t>
  </si>
  <si>
    <t>48.</t>
  </si>
  <si>
    <t xml:space="preserve">COLECALCIFEROL - płyn doustny (15 000 j.m./ml) 1 but. 10 ml  </t>
  </si>
  <si>
    <t>49.</t>
  </si>
  <si>
    <t xml:space="preserve">CO-TRIMOXAZOLE   inj. 0.48 g/5ml x 10 </t>
  </si>
  <si>
    <t>50.</t>
  </si>
  <si>
    <t>Cyanocobalamin- roztwór do wstrz. (100 µg/ml) x10 amp 1 ml</t>
  </si>
  <si>
    <t>51.</t>
  </si>
  <si>
    <t>Cyanocobalamin- roztwór do wstrz. (1000 µg/2 ml)x 5 amp. 2 ml</t>
  </si>
  <si>
    <t>52.</t>
  </si>
  <si>
    <t xml:space="preserve">DICLOFENAC PROLONGATUM   tabl.powl. 0.1 g x20 </t>
  </si>
  <si>
    <t>53.</t>
  </si>
  <si>
    <t>DIGOXIN   inj. 0.5 mg/2ml x 5</t>
  </si>
  <si>
    <t>54.</t>
  </si>
  <si>
    <t>55.</t>
  </si>
  <si>
    <t xml:space="preserve">DOPAMINE HYDROCHLORIDE  4%   inj. 0.2 g/5ml x10 </t>
  </si>
  <si>
    <t>56.</t>
  </si>
  <si>
    <t>DOXAZOSIN- tabl. (2 mg)x 30 szt.</t>
  </si>
  <si>
    <t>57.</t>
  </si>
  <si>
    <t>DOXAZOSIN- tabl. (4 mg)x 30 szt.</t>
  </si>
  <si>
    <t>58.</t>
  </si>
  <si>
    <t xml:space="preserve">ENALAPRIL  MALEATE   tabl. 0,005 g x 60 </t>
  </si>
  <si>
    <t>59.</t>
  </si>
  <si>
    <t xml:space="preserve">ENALAPRIL  MALEATE   tabl.0,01 x 60 </t>
  </si>
  <si>
    <t>60.</t>
  </si>
  <si>
    <t xml:space="preserve">ENALAPRIL  MALEATE  tabl. 0,02 g x 60 </t>
  </si>
  <si>
    <t>61.</t>
  </si>
  <si>
    <t xml:space="preserve">EPINEPHRINE  inj. 1 mg/1ml x10 </t>
  </si>
  <si>
    <t>62.</t>
  </si>
  <si>
    <t>Escitalopram - tabl. powl. (10 mg) 28 szt.</t>
  </si>
  <si>
    <t>ESOMEPRAZOLE- proszek do przyg. roztw. do wstrz. i inf. (40 mg) 10 fiolek</t>
  </si>
  <si>
    <t>64.</t>
  </si>
  <si>
    <t>FLUCONAZOLE  tabl. 100 mg x 28</t>
  </si>
  <si>
    <t>65.</t>
  </si>
  <si>
    <t>66.</t>
  </si>
  <si>
    <t xml:space="preserve">FLUOXETINE kaps. 0,02 g x 30 </t>
  </si>
  <si>
    <t>Fosfomycyna 40 mg/ ml prosz.do sporz. roztw. do inf. 2 g x 10 but.</t>
  </si>
  <si>
    <t>68.</t>
  </si>
  <si>
    <t>Fosfomycyna 40 mg/ ml prosz.do sporz. roztw. do inf. 4 g x 10 but.</t>
  </si>
  <si>
    <t>FUROSEMIDE   inj. 0.02 g/2ml x5</t>
  </si>
  <si>
    <t>70.</t>
  </si>
  <si>
    <t xml:space="preserve">FUROSEMIDE  inj. 0.02G/2ML x50 amp </t>
  </si>
  <si>
    <t>71.</t>
  </si>
  <si>
    <t xml:space="preserve">FUROSEMIDE   tabl. 0.04 g x30 </t>
  </si>
  <si>
    <t>72.</t>
  </si>
  <si>
    <t>Gentamicin- krople do oczu, roztwór (3 mg/ml) but. 5 ml</t>
  </si>
  <si>
    <t>73.</t>
  </si>
  <si>
    <t xml:space="preserve">Haloperidol - krople doustne, roztwór (2 mg/ml) but. 10 ml </t>
  </si>
  <si>
    <t xml:space="preserve">Haloperidol - roztwór do wstrz. (5 mg/ml)x 10 amp. 1 ml </t>
  </si>
  <si>
    <t>75.</t>
  </si>
  <si>
    <t xml:space="preserve">Haloperidol - tabl. (1 mg)x 40 szt. </t>
  </si>
  <si>
    <t>76.</t>
  </si>
  <si>
    <t xml:space="preserve">Haloperodol - tabl. (5 mg) 30 szt. </t>
  </si>
  <si>
    <t>77.</t>
  </si>
  <si>
    <t>HEPARIN SODIUM    inj.doż. 25.000 j.m./ 5 ml x 10 fiol.</t>
  </si>
  <si>
    <t xml:space="preserve">HYDROCHLOROTHIAZIDE   tabl. 0.025 g x30 </t>
  </si>
  <si>
    <t>79.</t>
  </si>
  <si>
    <t>Ibuprofen (dla dzieci) - czopki doodbytnicze (60 mg)x 5 szt.</t>
  </si>
  <si>
    <t>80.</t>
  </si>
  <si>
    <t>Ibuprofen (dla dzieci) - czopki doodbytnicze (125 mg)x 5 szt.</t>
  </si>
  <si>
    <t>81.</t>
  </si>
  <si>
    <t xml:space="preserve">IBUPROFEN  dla dzieci  zaw.doust. 0,1 g/5ml  100ml </t>
  </si>
  <si>
    <t>82.</t>
  </si>
  <si>
    <t xml:space="preserve">IBUPROFEN  dla dzieci forte  zaw.doust. 0,2 g/5ml  100ml </t>
  </si>
  <si>
    <t>83.</t>
  </si>
  <si>
    <t>Ibuprofen- tabl. draż. (200 mg) x60 szt.</t>
  </si>
  <si>
    <t>84.</t>
  </si>
  <si>
    <t xml:space="preserve">INDAPAMIDE tabl.. 2,5 mg x 20 </t>
  </si>
  <si>
    <t>85.</t>
  </si>
  <si>
    <t xml:space="preserve">ITRACONAZOLE - kaps. (100 mg) 28 szt. </t>
  </si>
  <si>
    <t>86.</t>
  </si>
  <si>
    <t>KETOCONAZOLE - tabl.( 200 mg) 10 szt.</t>
  </si>
  <si>
    <t xml:space="preserve">LIDOCAINE HYDROCHLOR.cum NOREPINEPHRINE  2%  inj. 2 ml x 10 </t>
  </si>
  <si>
    <t>88.</t>
  </si>
  <si>
    <t>LIDOCAINE HYDROCHLORIDE   2%  inj. 0.02 g/1ml   2 ml x10 amp.</t>
  </si>
  <si>
    <t>89.</t>
  </si>
  <si>
    <t>LIDOCAINE HYDROCHLORIDE  1%  inj. 0.01 g/1ml   2 ml x 10 amp.</t>
  </si>
  <si>
    <t>90.</t>
  </si>
  <si>
    <t>LIDOCAINE HYDROCHLORIDE  1%  inj. 0.01 g/1ml   20 ml x 5 fiol.</t>
  </si>
  <si>
    <t>91.</t>
  </si>
  <si>
    <t>LIDOCAINE HYDROCHLORIDE  2%   inj. 0,02 g/1ml   20 ml x 5 fiol.</t>
  </si>
  <si>
    <t>92.</t>
  </si>
  <si>
    <t>Linezolid- roztwór do inf. (2 mg/ml) 1 worek 300 ml</t>
  </si>
  <si>
    <t>szt.</t>
  </si>
  <si>
    <t>LOPERAMIDE HYDROCHLORIDE  tabl. 2 mg x 30</t>
  </si>
  <si>
    <t>94.</t>
  </si>
  <si>
    <t xml:space="preserve">MAGNESIUM SULFURICUM   inj.doż. 2 g/10ml x10 </t>
  </si>
  <si>
    <t>95.</t>
  </si>
  <si>
    <t xml:space="preserve">METAMIZOLE SODIUM   inj. 1 g/2ml x 5 </t>
  </si>
  <si>
    <t>96.</t>
  </si>
  <si>
    <t>METAMIZOLE SODIUM   inj. 2.5 g/5ml x 5</t>
  </si>
  <si>
    <t>97.</t>
  </si>
  <si>
    <t>METAMIZOLE SODIUM   tabl. 0.5 g x 20</t>
  </si>
  <si>
    <t>98.</t>
  </si>
  <si>
    <t>METAMIZOLE SODIUM  krople doustne [roztw.]  500 mg/ml  but. 20 ml</t>
  </si>
  <si>
    <t>99.</t>
  </si>
  <si>
    <t xml:space="preserve">METAMIZOLE SODIUM  krople doustne [roztw.]  500 mg/ml  but. 100 ml </t>
  </si>
  <si>
    <t>100.</t>
  </si>
  <si>
    <t xml:space="preserve">METFORMIN HYDROCHLORIDE   tabl. 0.85 g x 60 </t>
  </si>
  <si>
    <t>101.</t>
  </si>
  <si>
    <t xml:space="preserve">METFORMIN HYDROCHLORIDE  tabl. 0.5 g x 60 </t>
  </si>
  <si>
    <t>102.</t>
  </si>
  <si>
    <t xml:space="preserve">METOCLOPRAMIDE HYDROCHLOR.    tabl. 0.01 g x50 </t>
  </si>
  <si>
    <t>103.</t>
  </si>
  <si>
    <t>METOCLOPRAMIDE HYDROCHLOR.  inj. 0.01 g/2ml x5</t>
  </si>
  <si>
    <t>104.</t>
  </si>
  <si>
    <t>METOPROLOL TARTRATE   inj. 1 mg/1ml    5 ml x 5 amp.</t>
  </si>
  <si>
    <t>105.</t>
  </si>
  <si>
    <t xml:space="preserve">METOPROLOL SUCCINATE  ZK 47,5 mg  tabl.o przedł.uwaln.  x 28 </t>
  </si>
  <si>
    <t>106.</t>
  </si>
  <si>
    <t xml:space="preserve">METOPROLOL SUCCINATE  ZK 95 mg  tabl.o przedł.uwaln. x 28 szt.  </t>
  </si>
  <si>
    <t>107.</t>
  </si>
  <si>
    <t xml:space="preserve">METOPROLOL TARTRATE  tabl. 0,05g x30 </t>
  </si>
  <si>
    <t>108.</t>
  </si>
  <si>
    <t xml:space="preserve">METOPROLOL TARTRATE  tabl. 0,1g x30 </t>
  </si>
  <si>
    <t>109.</t>
  </si>
  <si>
    <t xml:space="preserve">METRONIDAZOLE   tabl. 0.25 g x20 </t>
  </si>
  <si>
    <t>110.</t>
  </si>
  <si>
    <t xml:space="preserve">METRONIDAZOLE   tabl.dopoch. 0.5 g x10 </t>
  </si>
  <si>
    <t>111.</t>
  </si>
  <si>
    <t>METRONIDAZOLE  0.5%   inj. 100 ml x 40</t>
  </si>
  <si>
    <t>112.</t>
  </si>
  <si>
    <t xml:space="preserve">MOLSIDOMINE   tabl. 4 mg x 30 </t>
  </si>
  <si>
    <t>113.</t>
  </si>
  <si>
    <t xml:space="preserve">MOLSIDOMINE  tabl. 2 mg x 30 </t>
  </si>
  <si>
    <t>114.</t>
  </si>
  <si>
    <t xml:space="preserve">NALOXONE HYDROCHLORIDE   inj. 0.4 mg/1ml x 10 </t>
  </si>
  <si>
    <t>115.</t>
  </si>
  <si>
    <t>NOREPINEPHRINE TARTRATE   inj. 0,004g/4ml x 5 amp.</t>
  </si>
  <si>
    <t>116.</t>
  </si>
  <si>
    <t>NOREPINEPHRINE TARTRATE  inj. 1 mg/1ml x 10 amp.</t>
  </si>
  <si>
    <t>117.</t>
  </si>
  <si>
    <t xml:space="preserve">OFLOXACIN  0.3%   krop.do oczu 3 mg/1ml  5ml  </t>
  </si>
  <si>
    <t>118.</t>
  </si>
  <si>
    <t>OMEPRAZOLE- proszek do sporz. roztw. do inf. (40 mg) 1 fiolka</t>
  </si>
  <si>
    <t>119.</t>
  </si>
  <si>
    <t>OPIPRAMOL HYDROCHLORIDE  tabl. 0.05 g x 20</t>
  </si>
  <si>
    <t>120.</t>
  </si>
  <si>
    <t xml:space="preserve">PAPAVERINE HYDROCHLORIDE  inj. 0.04 g/2ml x10 </t>
  </si>
  <si>
    <t>121.</t>
  </si>
  <si>
    <t>Paracetamol,Tramadol hydrochloride   (1 tabl. powl. zawiera 37,5 mg chlorowodorku tramadolu i 325 mg paracetamolu.)x 60 tabl.powl.</t>
  </si>
  <si>
    <t>122.</t>
  </si>
  <si>
    <t>Pentoxifylline - tabl.powl.o przedł.uwalnianianiu (400mg) x 60</t>
  </si>
  <si>
    <t>123.</t>
  </si>
  <si>
    <t xml:space="preserve">PENTOXIFYLLINE   konc.do wl.doż. 0.3 g/15ml x10 </t>
  </si>
  <si>
    <t>124.</t>
  </si>
  <si>
    <t xml:space="preserve">Phenytoin tabl. 100 mg x 60 </t>
  </si>
  <si>
    <t>125.</t>
  </si>
  <si>
    <t>Phytomenadione- roztwór do wstrz. (10 mg/ml)  x 10 amp. 1 ml</t>
  </si>
  <si>
    <t xml:space="preserve">PHYTOMENADIONE   tabl.drażowane 0,01 g x 30 </t>
  </si>
  <si>
    <t>127.</t>
  </si>
  <si>
    <t>PIRACETAM    inj. 1 g/5ml x12</t>
  </si>
  <si>
    <t>128.</t>
  </si>
  <si>
    <t xml:space="preserve">PIRACETAM  inj. 12g/60 ml x20 </t>
  </si>
  <si>
    <t>129.</t>
  </si>
  <si>
    <t xml:space="preserve">PIRACETAM  tabl. powl. 1.2g x 60 </t>
  </si>
  <si>
    <t>130.</t>
  </si>
  <si>
    <t xml:space="preserve">PIRACETAM  tabl.powl. 0.8g x 60 </t>
  </si>
  <si>
    <t>131.</t>
  </si>
  <si>
    <t xml:space="preserve">POTASSIUM CHLORIDE 15% inj. 0.15 g/1ml 10 ml x 50 </t>
  </si>
  <si>
    <t>132.</t>
  </si>
  <si>
    <t xml:space="preserve">PREP.ZŁOŻ. ( AMILORID,  HYDROCHLOROTHIAZIDE ) mite  tabl. x 50 </t>
  </si>
  <si>
    <t>133.</t>
  </si>
  <si>
    <t xml:space="preserve">PREP.ZŁOŻ. ( AMILORID,  HYDROCHLOROTHIAZIDE ) tabl. x 50 </t>
  </si>
  <si>
    <t>134.</t>
  </si>
  <si>
    <t>Propafenone hydrochloride- tabl. powl. (150 mg)x 60 szt.</t>
  </si>
  <si>
    <t>135.</t>
  </si>
  <si>
    <t>Propafenone hydrochloride- tabl. powl. (300 mg)x 20 szt.</t>
  </si>
  <si>
    <t>136.</t>
  </si>
  <si>
    <t xml:space="preserve">PROPRANOLOL HYDROCHLORIDE  inj. 1 mg/1ml x10 </t>
  </si>
  <si>
    <t>137.</t>
  </si>
  <si>
    <t>Propranolol hydrochloride- tabl. (10 mg)x 50 szt.</t>
  </si>
  <si>
    <t>138.</t>
  </si>
  <si>
    <t>Propranolol hydrochloride- tabl. (40 mg) 50 szt.</t>
  </si>
  <si>
    <t>139.</t>
  </si>
  <si>
    <t>PYRANTEL PAMOATE   zaw. 0.25 g/5ml  15 ml</t>
  </si>
  <si>
    <t>140.</t>
  </si>
  <si>
    <t xml:space="preserve">PYRANTEL PAMOATE   tabl. 0.25 g x 3 </t>
  </si>
  <si>
    <t>141.</t>
  </si>
  <si>
    <t>Rosuvastatin- tabl. powl. (10 mg) 30 szt.</t>
  </si>
  <si>
    <t>142.</t>
  </si>
  <si>
    <t xml:space="preserve">Rosuvastatin- tabl. powl. (20 mg) 30 szt. </t>
  </si>
  <si>
    <t>143.</t>
  </si>
  <si>
    <t xml:space="preserve">Rosuvastatin- tabl. powl. (40 mg) 30 szt. </t>
  </si>
  <si>
    <t>144.</t>
  </si>
  <si>
    <t xml:space="preserve">SALBUTAMOL SULPHATE  inj. 0.5 mg/1ml x 10 </t>
  </si>
  <si>
    <t>145.</t>
  </si>
  <si>
    <t xml:space="preserve">SERTRALINE - tabl. powl. (50 mg)x 28 szt. </t>
  </si>
  <si>
    <t>146.</t>
  </si>
  <si>
    <t xml:space="preserve">SERTRALINE - tabl. powl. (100 mg)x 28 szt. </t>
  </si>
  <si>
    <t>147.</t>
  </si>
  <si>
    <t>Simvastatin- tabl. powl. (20 mg)x 28 szt.</t>
  </si>
  <si>
    <t>148.</t>
  </si>
  <si>
    <t xml:space="preserve">Simvastatin- tabl. powl. (40 mg)x 28 szt.   </t>
  </si>
  <si>
    <t>149.</t>
  </si>
  <si>
    <t>SODIUM CHLORIDE  inj. 9 mg/1ml   10 ml x 100</t>
  </si>
  <si>
    <t>150.</t>
  </si>
  <si>
    <t>SODIUM CHLORIDE 10%  inj. 10 ml  x 100</t>
  </si>
  <si>
    <t>151.</t>
  </si>
  <si>
    <t>SODIUM HYDROCARBONATE  8.4%  inj.doż. 20 ml x10</t>
  </si>
  <si>
    <t>152.</t>
  </si>
  <si>
    <t>TINIDAZOLE  tabl.powl. 0.5 g x 4</t>
  </si>
  <si>
    <t xml:space="preserve"> op</t>
  </si>
  <si>
    <t>154.</t>
  </si>
  <si>
    <t xml:space="preserve">TRAMADOL HYDROCHLOR. krop.doustne 0,1g/1ml  96ml </t>
  </si>
  <si>
    <t>155.</t>
  </si>
  <si>
    <t>TRAMADOL HYDROCHLOR.- roztwór do wstrz. (100 mg/2 ml)x 5 amp. 2 ml</t>
  </si>
  <si>
    <t>156.</t>
  </si>
  <si>
    <t>TRAMADOL HYDROCHLOR.- roztwór do wstrz. (50 mg/ml)x 5 amp. 1 ml</t>
  </si>
  <si>
    <t>157.</t>
  </si>
  <si>
    <t>TRAMADOL HYDROCHLOR.-tabl.o przedł.uwalnianiu (200 mg) x 30</t>
  </si>
  <si>
    <t>158.</t>
  </si>
  <si>
    <t>TRAMADOL HYDROCHLORIDE  kaps. 50mg x20</t>
  </si>
  <si>
    <t>159.</t>
  </si>
  <si>
    <t>TRAMADOL HYDROCHLORIDE tabl.o przedł.uwaln.( 100 mg ) x 30</t>
  </si>
  <si>
    <t>160.</t>
  </si>
  <si>
    <t>TROPICAMIDE  1%  - krople do oczu, roztwór (10 mg/ml) 10 ml (2 x 5 ml )</t>
  </si>
  <si>
    <t>161.</t>
  </si>
  <si>
    <t>Vitamin B group- tabl. draż.x 50 szt.</t>
  </si>
  <si>
    <t>162.</t>
  </si>
  <si>
    <t xml:space="preserve">VERAPAMIL HYDROCHLORIDE - tabl. powl. (40 mg) x 20  </t>
  </si>
  <si>
    <t>163.</t>
  </si>
  <si>
    <t>VALSARTAN- tabl. powl. (80 mg)x 28 szt.</t>
  </si>
  <si>
    <t>164.</t>
  </si>
  <si>
    <t>VALSARTAN- tabl. powl. (160 mg)x 28 szt.</t>
  </si>
  <si>
    <t xml:space="preserve">CEFAZOLIN - proszek do sporz. roztw. do wstrz. i inf. (1 g) 1 fiolka </t>
  </si>
  <si>
    <t xml:space="preserve">CEFOTAXIME  - proszek do sporz. roztw. do wstrz. (1 g) 1 fiolka </t>
  </si>
  <si>
    <t xml:space="preserve">CEFTRIAXONE SODIUM  - proszek do sporz. roztw. do wstrz. (1 g) 1 fiolka </t>
  </si>
  <si>
    <t xml:space="preserve">CEFTRIAXONE SODIUM -  proszek do sporz. roztw. do wstrz. (2 g) 1 fiolka </t>
  </si>
  <si>
    <t xml:space="preserve">Fludrocortisone acetate,Gramicidin,Neomycin - krople do oczu i uszu, zawiesina but. 5 ml </t>
  </si>
  <si>
    <t>Zadanie nr 20</t>
  </si>
  <si>
    <t>Diazepam- mikrowlewki doodbytnicze, roztwór (10 mg/2,5 ml)x 5 szt</t>
  </si>
  <si>
    <t xml:space="preserve">Diazepam- mikrowlewki doodbytnicze, roztwór (5 mg/2,5 ml)x 5 szt. </t>
  </si>
  <si>
    <t xml:space="preserve">Diazepam- roztwór do wstrz. (10 mg/2 ml)x 50 amp. 2 ml </t>
  </si>
  <si>
    <t xml:space="preserve">Ephedrine hydrochloride  inj. 0.025 g/1ml x10 </t>
  </si>
  <si>
    <t>Fentanyl-  (100 µg/2 ml)x 50 amp. 2 ml - roztwór do podania dom.,doż.podsk.,zewnątrzopon., podpajęcz.</t>
  </si>
  <si>
    <t xml:space="preserve">Midazolam- roztwór do wstrz. (5 mg/5 ml)x 10 amp. 5 ml </t>
  </si>
  <si>
    <t>Midazolam- roztwór do wstrz. (50 mg/10 ml)x 5 amp. 10 ml</t>
  </si>
  <si>
    <t xml:space="preserve">Morphine sulphate- roztwór do wstrz. (10 mg/ml) x10 amp. 1 ml </t>
  </si>
  <si>
    <t xml:space="preserve">Morphine sulphate- roztwór do wstrz. (20 mg/ml) x10 amp. 1 ml </t>
  </si>
  <si>
    <t>Oxycodone hydrochloride -roztw. do wstrz. i inf. (10 mg/ml) 5 amp. 1 ml</t>
  </si>
  <si>
    <t>Oxycodone hydrochloride -roztw. do wstrz. i inf. (10 mg/ml) 5 amp. 2 ml</t>
  </si>
  <si>
    <t>Oxycodone hydrochloride -roztw. do wstrz. i inf. (50 mg/ml) 5 amp. 1 ml</t>
  </si>
  <si>
    <t xml:space="preserve">Remifentanil - inj.  2 mg x 5 fiol. </t>
  </si>
  <si>
    <t xml:space="preserve">Remifentanil - inj.  5 mg x 5 fiol. </t>
  </si>
  <si>
    <t xml:space="preserve">Zolpidem tartrate- tabl. powl. (10 mg)x 20 szt. </t>
  </si>
  <si>
    <t>Zadanie nr 21</t>
  </si>
  <si>
    <t>ALBUMIN HUMAN  roztw. do inf.  200 mg/ ml  10 ml</t>
  </si>
  <si>
    <t xml:space="preserve">CHLOROQUINE DIPHOSPHATE  tabl. 0,25 g x 30 </t>
  </si>
  <si>
    <t xml:space="preserve">CLARITHROMYCIN   inj.doż. 500mg x1fiol </t>
  </si>
  <si>
    <t>CO-TRIMOXAZOLE  960   tabl. 0.960  g x 10</t>
  </si>
  <si>
    <t xml:space="preserve">DEXAMETHASONE  tabl. 1 mg x 20 </t>
  </si>
  <si>
    <t xml:space="preserve">FLUDROCORTISONE ACETATE  tabl. 0.1 mg x 20 </t>
  </si>
  <si>
    <t>FURAGIN/FURAZIDIN   tabl. 0.05 g x 30</t>
  </si>
  <si>
    <t xml:space="preserve">Hydroxyzine hydrochloride - tabl. powl. (10 mg)x 30 szt. </t>
  </si>
  <si>
    <t xml:space="preserve">Hydroxyzine hydrochloride - tabl. powl. (25 mg)x 30 szt. </t>
  </si>
  <si>
    <t xml:space="preserve">LEVETIRACETAM  tabl.powl. 0,5 g x 50 </t>
  </si>
  <si>
    <t xml:space="preserve">Mianserin hydrochloride - tabl. powl. (10 mg)x 30 szt. </t>
  </si>
  <si>
    <t xml:space="preserve">Mianserin hydrochloride - tabl. powl. (30 mg)x 30 szt. </t>
  </si>
  <si>
    <t xml:space="preserve">NAPROXEN  250   tabl.  dojelit.0,25 g x 20 </t>
  </si>
  <si>
    <t xml:space="preserve">NAPROXEN  500   tabl. dojelit.0,5 g x 20 </t>
  </si>
  <si>
    <t xml:space="preserve">NICERGOLINE  tabl.powl. 0.01 g x50 </t>
  </si>
  <si>
    <t xml:space="preserve">NORFLOXACIN   tabl.powl. 400 mg x 20 </t>
  </si>
  <si>
    <t>Olanzapine - kaps. twarde (7,5 mg)x 30 szt.</t>
  </si>
  <si>
    <t>Olanzapine - tabl. powl.(10 mg) 30 szt.</t>
  </si>
  <si>
    <t>Olanzapine - tabl. powl.(5 mg) 30 szt.</t>
  </si>
  <si>
    <t>Olanzapine - tabl. ulegające rozpadowi w jamie ustnej (10 mg)x 28 szt.</t>
  </si>
  <si>
    <t>Olanzapine - tabl. ulegające rozpadowi w jamie ustnej (5 mg)x 28 szt.</t>
  </si>
  <si>
    <t xml:space="preserve">OMEPRAZOLE- kaps.  (20 mg) 56 szt.  </t>
  </si>
  <si>
    <t>PREDNISONE  tabl. 0.01 g x 20</t>
  </si>
  <si>
    <t xml:space="preserve">PREDNISONE  tabl. 0.02 g x 20 </t>
  </si>
  <si>
    <t xml:space="preserve">PREDNISONE  tabl. 5 mg x 100 </t>
  </si>
  <si>
    <t xml:space="preserve">PROGESTERONE  50   tabl.podj. 0,05 g x 30 </t>
  </si>
  <si>
    <t xml:space="preserve">PROGESTERONE  tabl.dopochw.  50 mg x 30  </t>
  </si>
  <si>
    <t xml:space="preserve">TETANUS IMMUNOGLOBULIN - roztwór do wstrz. dom. (250 j.m./ml) x 1 amp.-strzyk. 1 ml </t>
  </si>
  <si>
    <t>Venlafaxine - kaps. o przedł. uwalnianiu (150 mg)x 28 szt.</t>
  </si>
  <si>
    <t>Venlafaxine - kaps. o przedł. uwalnianiu (37,5 mg) x 28 szt.</t>
  </si>
  <si>
    <t>Venlafaxine - kaps. o przedł. uwalnianiu (75 mg)x 28 szt.</t>
  </si>
  <si>
    <t>Zadanie nr 22</t>
  </si>
  <si>
    <t>Zadanie nr 23</t>
  </si>
  <si>
    <t>Alfa lipoic acid  - tabl. powl.600 mg x 30</t>
  </si>
  <si>
    <t>ALBENDAZOLE  - tabl. do rozgr. i żucia  400 mg x 1 szt.</t>
  </si>
  <si>
    <t xml:space="preserve">ATROPA BELLADONNA EXTRACT  tabl. 0.25 mg x 20 </t>
  </si>
  <si>
    <t>Bromocriptine mesylate  tabl. 2.5 mg x 30</t>
  </si>
  <si>
    <t xml:space="preserve">BUTYLSCOPOLAMINE tabl. drażow. 0.01 g x 30 </t>
  </si>
  <si>
    <t xml:space="preserve">BUTYLSCOPOLAMINE  czop. 0.01 g x 6 </t>
  </si>
  <si>
    <t xml:space="preserve">CALCIUM    syrop - 150 ml </t>
  </si>
  <si>
    <t xml:space="preserve">CALCIUM CARBONATE  500  kaps. 0,2 g x 200 </t>
  </si>
  <si>
    <t xml:space="preserve">CARBAMAZEPINE  RETARD   tabl.o przedł.uwaln.(300 mg) x 50 </t>
  </si>
  <si>
    <t xml:space="preserve">CARBAMAZEPINE  RETARD   tabl.o przedł.uwaln.(400 mg) x 50 </t>
  </si>
  <si>
    <t xml:space="preserve">CARBAMAZEPINE  RETARD  - tabl. o przedł. uwalnianiu (600 mg) 50 szt.  </t>
  </si>
  <si>
    <t xml:space="preserve">CHLORQUINALDOL  tabl.do ssania 2 mg x 40 </t>
  </si>
  <si>
    <t xml:space="preserve">Colchicum Dispert tabl.powl. 0,5 mg x 20 </t>
  </si>
  <si>
    <t>Crotamiton- maść (100 mg/g) 1 tuba 40 g</t>
  </si>
  <si>
    <t>Cyanocobalamin 1 mg, Lidocaine hydrochloride 20 mg, Pyridoxine hydrochloride 100 mg, Thiamine hydrochloride 100 mg- roztw. do wstrzyk. 2 ml x 5 amp.</t>
  </si>
  <si>
    <t xml:space="preserve">DIHYDROXIALUMINI SODIUM CARBONATE   zaw. 0.34 g/5ml x 250 ml </t>
  </si>
  <si>
    <t xml:space="preserve">DIHYDROXIALUMINI SODIUM CARBONATE  tabl.do ssania 0.34 g x 40 </t>
  </si>
  <si>
    <t>Distigmine bromide – tabl. 5 mg x 20</t>
  </si>
  <si>
    <t xml:space="preserve">Esculoside /Lidocaine hydrochloride- maść doodbytnicza tuba 30 g </t>
  </si>
  <si>
    <t xml:space="preserve">ETAMSYLATE   tabl. 0.25 g x 30 </t>
  </si>
  <si>
    <t xml:space="preserve">ETAMSYLATE    inj. 0.25 g/2ml x 50 </t>
  </si>
  <si>
    <t xml:space="preserve">FENOFIBRATE - kaps.tward.(160 mg) 30 szt. </t>
  </si>
  <si>
    <t xml:space="preserve">FERROUS GLUCONATE tabl. drażowane (23,2 mg Fe II) 50 szt.  </t>
  </si>
  <si>
    <t>Flumazenil- roztwór do wstrz. (500 µg/5 ml) 5 amp. 5 ml</t>
  </si>
  <si>
    <t xml:space="preserve">FOLIC ACID  tabl. 0.015 g x 30 </t>
  </si>
  <si>
    <t xml:space="preserve">FOLIC ACID  tabl. 5 mg x 30 </t>
  </si>
  <si>
    <t>Glucosum 20%- roztwór do wstrz. doż. (200 mg/ml) x 50 amp. 10 ml</t>
  </si>
  <si>
    <t xml:space="preserve">HYDROCORTISONE   tabl. 0.02 g x 20 </t>
  </si>
  <si>
    <t xml:space="preserve">HYDROXYCARBAMIDE  kaps. 0,5 g x 100 </t>
  </si>
  <si>
    <t xml:space="preserve">LITHIUM CARBONATE  tabl. 0.25 g x 60 </t>
  </si>
  <si>
    <t>Mebeverine hydrochloride- kaps. o przedł. uwalnianiu (200 mg) 60 szt</t>
  </si>
  <si>
    <t xml:space="preserve">Metildigoxin -  tabl. (100 µg) x  30 szt. </t>
  </si>
  <si>
    <t>Mesalazine - tabl.dojelit. 250 mg x 100</t>
  </si>
  <si>
    <t>Mesalazine - tabl.dojelit. 500 mg x 100</t>
  </si>
  <si>
    <t>Mesalazine - czopki 500 mg x 30</t>
  </si>
  <si>
    <t>Neospasmina- syrop but. 150 g</t>
  </si>
  <si>
    <t xml:space="preserve">NEOSTIGMINE METHYLSULPHATE  inj. 0.5 mg/1ml x 10 </t>
  </si>
  <si>
    <t>PIROXICAM   tabl.powl. 0.02 g x 20</t>
  </si>
  <si>
    <t xml:space="preserve">PRIDINOL HYDROCHLORIDE   tabl. 5 mg x 50 </t>
  </si>
  <si>
    <t xml:space="preserve">PRIMIDONE   tabl. 0.25 g x 60 </t>
  </si>
  <si>
    <t xml:space="preserve">SALBUTAMOL SULPHATE  syrop 0.04 g/100ml </t>
  </si>
  <si>
    <t>SODIUM DIHYDROPHOSPHATE, SODIUM HYDROPHOSPHATE  płyn doodbyt. 150ml x 50 fl.</t>
  </si>
  <si>
    <t xml:space="preserve">SOTALOL HYDROCHLORIDE  tabl. 0.04 g x 60 </t>
  </si>
  <si>
    <t xml:space="preserve">SOTALOL HYDROCHLORIDE  tabl. 0.08 g x 30 </t>
  </si>
  <si>
    <t xml:space="preserve">Spasmalgon - roztw. do wstrz. x 10 amp. 5 ml </t>
  </si>
  <si>
    <t>Specjalistyczny krem kojąco - łagodzący  do skóry narażonej na działanie promieniowania jonizującego, wymagana folia zabezpieczająca krem, opakowanie zabezpieczone przed przypadkowym  otwarciem - 100 ml</t>
  </si>
  <si>
    <t>SPIRONOLACTONE    tabl.powl. 0.1 g x 20</t>
  </si>
  <si>
    <t xml:space="preserve">SPIRONOLACTONE   tabl. 0.025 g x 100 </t>
  </si>
  <si>
    <t xml:space="preserve">UROSEPT tabl. drażow.  x 60 </t>
  </si>
  <si>
    <t xml:space="preserve">VERAPAMIL HYDROCHLORIDE  SR   tabl.o przedł. uwaln.  0.12 g x40 </t>
  </si>
  <si>
    <t xml:space="preserve">VERAPAMIL HYDROCHLORIDE  SR  tabl.o przedł. uwaln. 0.24 g x20 </t>
  </si>
  <si>
    <t>VINPOCETINE   tabl. 5 mg x 50</t>
  </si>
  <si>
    <t>VIT. A+D3 /20 000J.M.A+10 000J.M.D3/   krople  10 ml</t>
  </si>
  <si>
    <t xml:space="preserve">VIT. A+E (30 000J.M. A + 70 MG E) kaps. x 30 </t>
  </si>
  <si>
    <t xml:space="preserve">VIT. PP  tabl. 0.2 g x 20 </t>
  </si>
  <si>
    <t>ALBENDAZOLE zawiesina doustna (100 mg/5 ml) but. 20 ml</t>
  </si>
  <si>
    <t>Azathioprine  - tabl.  (50 mg) 50 szt.</t>
  </si>
  <si>
    <t xml:space="preserve">BUSULFAN - tabl. powl. (2 mg) 100 szt. </t>
  </si>
  <si>
    <t xml:space="preserve">Danazol - tabl. (200 mg) 100 szt. </t>
  </si>
  <si>
    <t>Oseltamivir - kaps. twarde (30 mg) 10 szt.</t>
  </si>
  <si>
    <t>Oseltamivir - kaps. twarde (45 mg) 10 szt.</t>
  </si>
  <si>
    <t>Oseltamivir kaps. twarde (75 mg) 10 szt.</t>
  </si>
  <si>
    <t xml:space="preserve">FENOFIBRATE -  kaps.tward. (267 mg) 30 szt.  </t>
  </si>
  <si>
    <t>Zadanie nr 24</t>
  </si>
  <si>
    <t>Zadanie nr 25</t>
  </si>
  <si>
    <t>kpl.</t>
  </si>
  <si>
    <t>ALTEPLASE 20  proszek i rozp. do przyg. roztw. do inf.. (20 mg) 1 fiolka + rozp.</t>
  </si>
  <si>
    <t>ATOSIBAN - roztw. do wstrz. 7,5 mg/ml  1 fiol. 0,9 ml</t>
  </si>
  <si>
    <t>ATOSIBAN - konc. do sporz. roztw. do  inf. 7,5 mg/ml  1fiol.5 ml</t>
  </si>
  <si>
    <t>CEREBROLYSIN  - roztwór do wstrz. i inf. (215,2 mg/ml)x 5 amp. 10 ml</t>
  </si>
  <si>
    <t xml:space="preserve"> GLUCOSE 40%   inj. 10 ml x 50 </t>
  </si>
  <si>
    <t>HYDROXYZINE hydrochloride- roztwór do wstrz. (100 mg/2 ml) 5 amp. 2 ml</t>
  </si>
  <si>
    <t>PREP.ZŁOŻ. ( LACTOBACILLUS RHAMNOSUS + LACTOBACILLUS HELVETICUS )  kaps. x 60</t>
  </si>
  <si>
    <t xml:space="preserve">TERLIPRESSIN  roztw. do wstrz. (1 mg) 5 amp. 5 ml  </t>
  </si>
  <si>
    <t xml:space="preserve">DEXMEDETOMIDINE -  konc. do sporz. roztw. do inf. (100 µg/ml) 5 amp.2 ml </t>
  </si>
  <si>
    <t xml:space="preserve">ALTEPLASE 10  proszek i rozp. do sporz. roztw. do inf. (10 mg) 1 fiolka + rozp. </t>
  </si>
  <si>
    <t xml:space="preserve">ALTEPLASE 50  proszek i rozp. do sporz. roztw. do inf. (50 mg) 1 fiolka + rozp. </t>
  </si>
  <si>
    <t>Zadanie nr 26</t>
  </si>
  <si>
    <t>Zadanie nr 27</t>
  </si>
  <si>
    <t xml:space="preserve">ACARBOSE  tabl. 0.05 g x30 </t>
  </si>
  <si>
    <t>ACARBOSE  tabl. 0.1 g x 30</t>
  </si>
  <si>
    <t>AMANTADINE SULPHATE  rozt.do wl.doż. 0,2 g / 500 ml x 10 but.</t>
  </si>
  <si>
    <t xml:space="preserve">AMANTADINE SULPHATE  tabl.powl. 0,1 g x 100 </t>
  </si>
  <si>
    <t xml:space="preserve">ANTYTOKSYNA JADU ŻMIJI  inj. 500 j./ 5 ml x 1 </t>
  </si>
  <si>
    <t>amp.</t>
  </si>
  <si>
    <t xml:space="preserve">BUTYLSCOPOLAMINE    inj. 0.02 g/1ml x 10  </t>
  </si>
  <si>
    <t xml:space="preserve">CHLORTALIDONE  tabl. 50 mg x 20 </t>
  </si>
  <si>
    <t xml:space="preserve">CLOMETHIAZOLE  EDISYLATE   kaps. 0,3 g x 100 </t>
  </si>
  <si>
    <t>DIGOXIN    tabl. 0.1 mg x 30</t>
  </si>
  <si>
    <t xml:space="preserve">DILTIAZEM HYDROCHLORIDE  RETARD  tabl.powl. 0,09 g x 30 </t>
  </si>
  <si>
    <t xml:space="preserve">DIOSMIN - tabl. powl. (500 mg) 60 szt. </t>
  </si>
  <si>
    <t xml:space="preserve">DYDROGESTERONE   tabl.powl.0.01 g x 20 </t>
  </si>
  <si>
    <t>Erdosteine- kaps. (300 mg)x 20 kaps.</t>
  </si>
  <si>
    <t xml:space="preserve"> HUMALOG  inj. 100 j.m./1ml x 5  3 ml</t>
  </si>
  <si>
    <t xml:space="preserve">HUMALOG MIX 25  zaw.do inj. 300j.m/3ml x 5 </t>
  </si>
  <si>
    <t xml:space="preserve">ISOSORBIDE MONONITRATE  LONG   tabl. 0.05 g x 30 </t>
  </si>
  <si>
    <t xml:space="preserve">LEVOTHYROXINE SODIUM   tabl. 0,025 mg x 50 </t>
  </si>
  <si>
    <t>MEDROXYPROGESTERONE ACETATE    inj.(150 mg/1ml ) x 1fiol. 3,3 ml</t>
  </si>
  <si>
    <t>METHYLPREDNISOLONE ACETATE    inj. 0.04 g/1ml x 1</t>
  </si>
  <si>
    <t>POTASSIUM CHLORIDE  EFFERVESCENS B/CUKR.  gran. 20 mEq K+/3g x20</t>
  </si>
  <si>
    <t xml:space="preserve">PREP.ZŁOŻ. ( FENOTEROL HYDROBROMIDE,  IPRATROPIUM BROMIDE )  aerosol  200 D  10ml </t>
  </si>
  <si>
    <t xml:space="preserve">PREP.ZŁOŻ. ( FENOTEROL HYDROBROMIDE,  IPRATROPIUM BROMIDE )  płyn do inh. 20 ml </t>
  </si>
  <si>
    <t xml:space="preserve">PREP.ZŁOŻ. BETAMETHASONE DIPROPIONATE, BETAMETHASONE SODIUM PHOSPHATE   inj. 7 mg/1ml x 5 </t>
  </si>
  <si>
    <t xml:space="preserve">PROMETHAZINE HYDROCHLORIDE  - tabl. drażowane (25 mg) 20 szt. </t>
  </si>
  <si>
    <t xml:space="preserve">PROMETHAZINE HYDROCHLORIDE - tabl. drażowane (10 mg) 20 szt. </t>
  </si>
  <si>
    <t>Zadanie nr 28</t>
  </si>
  <si>
    <t xml:space="preserve">ALPROSTADIL  60   pr.do inj.doż/wlew. 0,06 mg x10 </t>
  </si>
  <si>
    <t>ALPROSTADIL  VR   inj. 0,5mg/1ml x 5</t>
  </si>
  <si>
    <t>Ceftolozane, Tazobactam - inf./inj.prosz. do przyg. roztw. 1 g+ 0,5 g x 10 fiol.</t>
  </si>
  <si>
    <t xml:space="preserve">CARBETOCIN - roztw. do wstrz. (0,1 mg/1 ml) x 5 </t>
  </si>
  <si>
    <t>CARBO VP węgiel aktywowany  kaps.200 mg  x 20 szt.</t>
  </si>
  <si>
    <t>CHOLINE  SALICYLATE   krople do uszu   10 g</t>
  </si>
  <si>
    <t>CICLOSPORIN  kaps (100 mg) x 50</t>
  </si>
  <si>
    <t>CICLOSPORIN  kaps. (50 mg) x  50</t>
  </si>
  <si>
    <t>Colecalciferol 1000 IU  tabl.x 30 szt.(prod.leczniczy)</t>
  </si>
  <si>
    <t>Colecalciferol 2000 IU  tabl x 60 szt.(prod.leczniczy)</t>
  </si>
  <si>
    <t>Diclofenac,Lidocaine hydrochloride- roztwór do wstrz. dom.x 5 amp. 2 ml (75 mg+20 mg)</t>
  </si>
  <si>
    <t xml:space="preserve">DINOPROSTONE- żel dopochwowy (0,5 mg/3 g) 1 strzyk. 3 g </t>
  </si>
  <si>
    <t>Empagliflozin - tabl.powl.(10mg) 30 szt.</t>
  </si>
  <si>
    <t>ESTRIOL    glob.dopochw. 0.5 mg x 15</t>
  </si>
  <si>
    <t>Glyceryl trinitrate- roztwór do inf. (10 mg/10 ml) x 10 amp. 10 ml</t>
  </si>
  <si>
    <t xml:space="preserve">Glycopyrronium bromide + Neostigmine methylosulphate  inj. roztw. (0,5 mg+ 2,5 mg)/ml  10 amp. 1 ml </t>
  </si>
  <si>
    <t>GLUCAGON HYDROCHLORIDE  -proszek i rozpuszczalnik do sporządzania roztworu do wstrzykiwań, 1 mg</t>
  </si>
  <si>
    <t xml:space="preserve">LACTULOSE    syrop 7.5 g/15ml   150 ml </t>
  </si>
  <si>
    <t xml:space="preserve">LACTULOSE  syrop 9,75g/15ml    200 ml </t>
  </si>
  <si>
    <t>LISINOPRIL - tabl.10  mg x 28 szt.</t>
  </si>
  <si>
    <t>LISINOPRIL - tabl. 20  mg x 28 szt.</t>
  </si>
  <si>
    <t xml:space="preserve">MEBENDAZOLE  tabl. 0.1 g x 6  </t>
  </si>
  <si>
    <t xml:space="preserve">METHYLPREDNISOLONE HEMISUCCINATE    inj. 40 mg/1 ml x1 </t>
  </si>
  <si>
    <t xml:space="preserve">METHYLPREDNISOLONE HEMISUCCINATE   inj. 125 mg/2 ml x 1 </t>
  </si>
  <si>
    <t xml:space="preserve">METHYLPREDNISOLONE HEMISUCCINATE    inj. 500 mg/8 ml x1 </t>
  </si>
  <si>
    <t xml:space="preserve">NUTRAMIGEN 1  LGG proszek puszka 400 g  </t>
  </si>
  <si>
    <t xml:space="preserve">NUTRAMIGEN 2  LGG proszek puszka 400 g </t>
  </si>
  <si>
    <t xml:space="preserve">OCTREOTIDE  inj. 0.1 mg/1ml x 5 </t>
  </si>
  <si>
    <t>OXYTOCIN    inj. 5j/1ml x 5 amp.</t>
  </si>
  <si>
    <t>PREP.ZŁOŻ. BUPIVACAINE HYDROCHLORIDE,  EPINEPHRINE HYDROCHLORIDE  0,5%   inj. 5 mg/ml  20 ml x 5 fiol.</t>
  </si>
  <si>
    <t>PROPYLTHIOURACIL  tabl. 0,05 g x 90</t>
  </si>
  <si>
    <t xml:space="preserve">PROTAMINE SULPHATE   inj. 0.05 g/5 ml x1 </t>
  </si>
  <si>
    <t xml:space="preserve">RIVAROXABAN - tabl. powl. (15 mg) 100 szt. </t>
  </si>
  <si>
    <t xml:space="preserve">RIVAROXABAN - tabl. powl. (20 mg) 100 szt. </t>
  </si>
  <si>
    <t xml:space="preserve">SULODEXIDE    kaps. 250 LSU x 50 </t>
  </si>
  <si>
    <t xml:space="preserve">THEOPHYLLINE  tabl.powl. 300mg x 50 </t>
  </si>
  <si>
    <t>THIAMAZOLE  tabl.powl. 0,01 g x 50</t>
  </si>
  <si>
    <t xml:space="preserve">THIAMAZOLE  tabl.powl. 0,02 g x 50 </t>
  </si>
  <si>
    <t xml:space="preserve">TOLPERISONE HYDROCHLORIDE   tabl.powl. 0.15 g x 30 </t>
  </si>
  <si>
    <t>TRAZODONE HYDROCHLORIDE CR  tabl.o przedł.uwaln. 0,075 g x 30</t>
  </si>
  <si>
    <t xml:space="preserve">Dabigatran etexilate -  kaps. twarde (110 mg) 180 szt. </t>
  </si>
  <si>
    <t>Dabigatran etexilate - kaps. twarde (150 mg) 180 szt.</t>
  </si>
  <si>
    <t xml:space="preserve">DESMOPRESSIN ACETATE   liofilizat doustny (60 µg) 30 szt. </t>
  </si>
  <si>
    <t>Zadanie nr 29</t>
  </si>
  <si>
    <t>Zadanie nr 30</t>
  </si>
  <si>
    <t xml:space="preserve">Albumin human- roztwór do inf. doż. (200 mg/ml) 100 ml  </t>
  </si>
  <si>
    <t>Zadanie nr 31</t>
  </si>
  <si>
    <t>Zadanie nr 32</t>
  </si>
  <si>
    <t>Płyn do płukania jamy ustnej zawierający jony fosforanowe i wapniowe  - op. zawierające 30 dawek roztworu</t>
  </si>
  <si>
    <t>Zadanie nr 33</t>
  </si>
  <si>
    <t>Zadanie nr 34</t>
  </si>
  <si>
    <t>Zadanie nr 35</t>
  </si>
  <si>
    <t>Zadanie nr 36</t>
  </si>
  <si>
    <t>Zadanie nr 37</t>
  </si>
  <si>
    <t>Zadanie nr 40</t>
  </si>
  <si>
    <t>Ascorbic acid- roztwór do wstrz. (500 mg/5 ml)x 5 amp. 5 ml</t>
  </si>
  <si>
    <t xml:space="preserve">CANRENONE POTASSSIUM   inj. 0.02 g/1ml x10 </t>
  </si>
  <si>
    <t>Deferoxamine mesylate- proszek do przyg. roztw. do wstrz. (500 mg)x 10 fiolek</t>
  </si>
  <si>
    <t>Ertapenem- proszek do przyg. konc. do sporz. roztw. do inf. doż. (1 g) x1 fiolka</t>
  </si>
  <si>
    <t xml:space="preserve">Ferrous sulphate,Folic acid - tabl. powl. o zmodyf. uwalnianiu x 30 szt.   </t>
  </si>
  <si>
    <t>Fosfomycin- granulat (3 g) 1 saszetka</t>
  </si>
  <si>
    <t xml:space="preserve">GALANTAMINE HYDROBROMIDE  inj. 2,5 mg/1ml x 10 </t>
  </si>
  <si>
    <t>GALANTAMINE HYDROBROMIDE inj. 5 mg/1ml x 10</t>
  </si>
  <si>
    <t xml:space="preserve">LIDOCAINE  10%   aer.  38 g </t>
  </si>
  <si>
    <t>MISOPROSTOL  tabl. 0.2 mg x 42</t>
  </si>
  <si>
    <t xml:space="preserve">NIMODIPINE -roztwór do wstrz. (0,2 mg/ml) x 1 fl. 50 ml </t>
  </si>
  <si>
    <t xml:space="preserve">RIFAXIMIN -  tabl. powl. (200 mg) x 12 szt. </t>
  </si>
  <si>
    <t xml:space="preserve">SULODEXIDE  inj. 600 LSU/2 ml x10 </t>
  </si>
  <si>
    <t>Zadanie nr 41</t>
  </si>
  <si>
    <t>Zadanie nr 42</t>
  </si>
  <si>
    <t xml:space="preserve">Ambroxol hydrochloride- tabl. (30 mg)x 20 szt. </t>
  </si>
  <si>
    <t xml:space="preserve">DEXKETOPROFEN 50 - roztw. do wstrz. lub konc. do sporz. roztw. do inf. (25 mg/ml)  x 5 amp. 2 ml </t>
  </si>
  <si>
    <t>Febuxostat  tabl. powl. 80 mg 28 szt.</t>
  </si>
  <si>
    <t>Febuxostat  tabl. powl. 120 mg 28 szt.</t>
  </si>
  <si>
    <t>Lercanidipine hydrochloride  - tabl.powl. 10 mg x 28 dszt.</t>
  </si>
  <si>
    <t>Lercanidipine hydrochloride - tabl.powl. 20 mg x 28 szt.</t>
  </si>
  <si>
    <t xml:space="preserve">LEVOTHYROXINE SODIUM    tabl. 0,075 mg x 50 </t>
  </si>
  <si>
    <t xml:space="preserve">LEVOTHYROXINE SODIUM  tabl. 0,1 mg x 50 </t>
  </si>
  <si>
    <t xml:space="preserve">LEVOTHYROXINE SODIUM  tabl. 0,150 mg x 50 </t>
  </si>
  <si>
    <t xml:space="preserve">LEVOTHYROXINE SODIUM tabl. 0,05 mg x 50 </t>
  </si>
  <si>
    <t>Olmesartan medoxomil -  tabl. powl. 10 mg x 28 szt.</t>
  </si>
  <si>
    <t>Olmesartan medoxomil -  tabl. powl. 20 mg x 28 ezt.</t>
  </si>
  <si>
    <t>Olmesartan medoxomil -  tabl. powl. 40 mg x 28 szt.</t>
  </si>
  <si>
    <t>PANCREATIN 25 000   kaps.(z minitabletkami) 25 000 j. x 20</t>
  </si>
  <si>
    <t>SIMETICONE (40mg/ml) krople doustne but.  30 ml</t>
  </si>
  <si>
    <t>SIMETICONE kaps. 0.04 g x 100</t>
  </si>
  <si>
    <t xml:space="preserve">TORASEMIDE - roztw. do wstrz. (20 mg/4 ml) 5 amp. 4 ml </t>
  </si>
  <si>
    <t>Zofenopril - tabl. powl. 30 mg x 28 szt.</t>
  </si>
  <si>
    <t>Zofenopril - tabl. powl. 7,5 mg x 28 szt.</t>
  </si>
  <si>
    <t>Zadanie nr 43</t>
  </si>
  <si>
    <t xml:space="preserve">Gentamicin- gąbka (130 mg) 1 szt.(10x10x0,5 cm) </t>
  </si>
  <si>
    <t xml:space="preserve">Gentamicin- gąbka (32,5 mg) 1 szt.(5x5x0,5 cm) </t>
  </si>
  <si>
    <t>Zadanie nr 44</t>
  </si>
  <si>
    <t>Zadanie nr 45</t>
  </si>
  <si>
    <t>FIDAXOMICIN - tabl. powl. (200 mg) 20 szt.</t>
  </si>
  <si>
    <t>Zadanie nr 46</t>
  </si>
  <si>
    <t>Zadanie nr 47</t>
  </si>
  <si>
    <t>Zadanie nr 48</t>
  </si>
  <si>
    <t>Zadanie nr 49</t>
  </si>
  <si>
    <t>Zadanie nr 50</t>
  </si>
  <si>
    <t>Zadanie nr 51</t>
  </si>
  <si>
    <t>Sevoflurane - płyn wziewny but. 250 ml x 6 but.</t>
  </si>
  <si>
    <t>Zadanie nr 52</t>
  </si>
  <si>
    <t>Ambroxol hydrochloride- roztwór do wstrz.  (15 mg/2 ml) x 10 amp. 2 ml</t>
  </si>
  <si>
    <t>Aciclovir - proszek do sporz.roztw.do inf. inj. 0,25 g x 5 fiol.</t>
  </si>
  <si>
    <t xml:space="preserve">CAPTOPRIL   tabl. 0.0125 g x 30 </t>
  </si>
  <si>
    <t xml:space="preserve">CAPTOPRIL   tabl. 0,025g x 30 </t>
  </si>
  <si>
    <t xml:space="preserve">CAPTOPRIL   tabl. 0,050g x 30 </t>
  </si>
  <si>
    <t xml:space="preserve">HYDROCORTISONE  100  inj. 100 mg x 5 </t>
  </si>
  <si>
    <t>HYDROCORTISONE 25  inj.  0,025 g x 5</t>
  </si>
  <si>
    <t>Itopridi hydrochloridum  tabl. powl. 50 mg x 40</t>
  </si>
  <si>
    <t xml:space="preserve">LIDOCAINE HYDROCHLORIDE   2%   A   żel    30 g </t>
  </si>
  <si>
    <t xml:space="preserve">LIDOCAINE HYDROCHLORIDE  2%  U  żel  30 g </t>
  </si>
  <si>
    <t xml:space="preserve">ROCURONIUM bromide- roztwór do wstrz. doż. (100 mg/10 ml) 10 fiol. 10 ml </t>
  </si>
  <si>
    <t>SULFATHIAZOLE SILVER- krem (20 mg/g) tuba 40 g</t>
  </si>
  <si>
    <t>SUXAMETHONIUM CHLORIDE  inj. 0.2 g x 10 fiol.</t>
  </si>
  <si>
    <t>Timonacic tabl. 100 mg x 30 tabl.</t>
  </si>
  <si>
    <t xml:space="preserve">URSODEOXYCHOLIC ACID   kaps. 0,25 g x 100 </t>
  </si>
  <si>
    <t xml:space="preserve"> Dexamethasone phosphate -  roztw. do wstrz. (8 mg/2 ml) 10 amp 2 ml </t>
  </si>
  <si>
    <t xml:space="preserve">Dexamethasone phosphate -  roztw. do wstrz. (4 mg/ml) 10 amp. 1 ml </t>
  </si>
  <si>
    <t>Zadanie nr 53</t>
  </si>
  <si>
    <t>zestaw</t>
  </si>
  <si>
    <t>Zadanie nr 54</t>
  </si>
  <si>
    <t>Zadanie nr 55</t>
  </si>
  <si>
    <t>Alprazolam SR   - tabl. o zmodyf. uwalnianiu (1 mg)x 30 szt.</t>
  </si>
  <si>
    <t>Alprazolam SR  - tabl. o zmodyf. uwalnianiu (0,5 mg) x30 szt</t>
  </si>
  <si>
    <t xml:space="preserve">Alprazolam- tabl. (0,25 mg)x 30 szt. </t>
  </si>
  <si>
    <t xml:space="preserve">Alprazolam- tabl. (0,5 mg) x30 szt. </t>
  </si>
  <si>
    <t>Alprazolam tabl. (1 mg)x 30 szt.</t>
  </si>
  <si>
    <t xml:space="preserve">Bromazepam- tabl. (3 mg)x 30 szt. </t>
  </si>
  <si>
    <t>Bromazepam- tabl. (6 mg)x 30 szt.</t>
  </si>
  <si>
    <t xml:space="preserve">Clorazepate dipotassium- tabl. (10 mg)x 30 szt. </t>
  </si>
  <si>
    <t>Clorazepate dipotassium- tabl. (5 mg)x 30 szt.</t>
  </si>
  <si>
    <t xml:space="preserve">Diazepam- tabl. (2 mg)x 20 szt. </t>
  </si>
  <si>
    <t>Dihydrocodeine tartrate- tabl. o zmodyf. uwalnianiu (60 mg)x 60 szt.</t>
  </si>
  <si>
    <t>Dihydrocodeine tartrate- tabl. o zmodyf. uwalnianiu (90 mg)x 60 szt.</t>
  </si>
  <si>
    <t>Ketamine- roztwór do wstrz. (200 mg/20 ml)x 5 fiolek 20 ml</t>
  </si>
  <si>
    <t>Midazolam- tabl. powl. (15 mg)x 100 szt.</t>
  </si>
  <si>
    <t xml:space="preserve">Midazolam- tabl. powl. (7,5 mg) x10 szt. </t>
  </si>
  <si>
    <t>Morphine sulphate- tabl. powl. (20 mg)x 60 szt.</t>
  </si>
  <si>
    <t>Nitrazepam- tabl. (5 mg) x20 szt</t>
  </si>
  <si>
    <t>Oxycodone hydrochloride -tabl. o przedł. uwalnianiu (5 mg) 60 szt.</t>
  </si>
  <si>
    <t>Oxycodone hydrochloride -tabl. o przedł. uwalnianiu (10mg) 60 szt.</t>
  </si>
  <si>
    <t>Oxycodone hydrochloride -tabl. o przedł. uwalnianiu (20 mg) 60 szt.</t>
  </si>
  <si>
    <t>Zadanie nr 56</t>
  </si>
  <si>
    <t xml:space="preserve">Ambroxol hydrochloride- płyn do inh. z nebulizatora (7,5 mg/ml) but. 100 ml </t>
  </si>
  <si>
    <t xml:space="preserve">Bromhexine hydrochloride- krople doustne, roztwór (2 mg/ml) 30 ml </t>
  </si>
  <si>
    <t xml:space="preserve">Bromhexine hydrochloride- syrop  (4 mg/5 ml) 120 ml </t>
  </si>
  <si>
    <t xml:space="preserve">Butamirate citrate- syrop (7,5 mg/5 ml) but. 100 ml </t>
  </si>
  <si>
    <t xml:space="preserve">Codeine phosphate,Sulfogaiacol- tabl. 10 szt. </t>
  </si>
  <si>
    <t>Ipratropium bromide- płyn do inh. z nebulizatora (250 µg/ml)  20 ml x1but.</t>
  </si>
  <si>
    <t>Marimer- spray do nosa 100 ml</t>
  </si>
  <si>
    <t xml:space="preserve">Naphazoline nitrate,Sulfathiazole- krople do nosa  20 ml </t>
  </si>
  <si>
    <t>Oxymetazoline hydrochloride- krople do nosa, roztwór (0,1 mg/g) but. 5 ml  0,01%</t>
  </si>
  <si>
    <t>Oxymetazoline hydrochloride- aerosol do nosa, roztwór (0,25 mg/ml)  10 ml  0,025%</t>
  </si>
  <si>
    <t xml:space="preserve">Tussipect- syrop but. 140 g </t>
  </si>
  <si>
    <t>Zadanie nr 57</t>
  </si>
  <si>
    <t xml:space="preserve">Allantoin- maść (20 mg/g) tuba 30 g </t>
  </si>
  <si>
    <t>Allantoin- zasyp. 100 g</t>
  </si>
  <si>
    <t xml:space="preserve">Atecortin- krople do oczu i uszu, zawiesina tuba 5 ml </t>
  </si>
  <si>
    <t>Benzyna  100 ml</t>
  </si>
  <si>
    <t xml:space="preserve">Biborate sodium- płyn do stos. w jamie ustnej (200 mg/g) but. 10 g </t>
  </si>
  <si>
    <t xml:space="preserve">Chloramphenicol- maść (10 mg/g) tuba 5 g </t>
  </si>
  <si>
    <t xml:space="preserve">Chloramphenicol- maść (20 mg/g) tuba 5 g </t>
  </si>
  <si>
    <t>20 % Chlorhexidinum gluconicum  1000 ml</t>
  </si>
  <si>
    <t>Clioquinol,Flumetasone pivalate- maść tuba 15 g</t>
  </si>
  <si>
    <t>Denotivir- krem (30 mg/g) tuba 3 g</t>
  </si>
  <si>
    <t xml:space="preserve">Depanthenol -  aerozol do stos. zewn. (46,3 mg/g) 130 g </t>
  </si>
  <si>
    <t>Diclofenac sodium- żel (10 mg/g) tuba 50 g</t>
  </si>
  <si>
    <t>Ethyl chloride- aerozol 70 g</t>
  </si>
  <si>
    <t>Flumetasone pivalate,Salicylic acid- maść tuba 15 g</t>
  </si>
  <si>
    <t>Fluocinolone acetonide- maść (0,25 mg/g) tuba 15 g</t>
  </si>
  <si>
    <t>Heparinoids- żel tuba 40 g</t>
  </si>
  <si>
    <t>Hydrocortisone acetate 1%- krem (10 mg/g) tuba 15 g</t>
  </si>
  <si>
    <t>Hydrocortisone butyrate- krem (1 mg/g) tuba 15 g</t>
  </si>
  <si>
    <t>Hydrocortisone butyrate- maść (1 mg/g) tuba 15 g</t>
  </si>
  <si>
    <t>Hydrocortisone,Natamycin,Neomycin- maść tuba 15 g</t>
  </si>
  <si>
    <t>Maść cynkowa 20 g</t>
  </si>
  <si>
    <t>Maść ochronna z witaminą A- maść (800 j.m./g) tuba 25 g</t>
  </si>
  <si>
    <t xml:space="preserve">Mupirocin- maść (20 mg/g) tuba 15 g </t>
  </si>
  <si>
    <t>Natamycin- krem (20 mg/g) tuba 30 g</t>
  </si>
  <si>
    <t>Prednisolone pivalate- krem (5 mg/g) tuba 10 g</t>
  </si>
  <si>
    <t>Sachol żel stomatologiczny - żel do stos. w jamie ustnej tuba 10 g</t>
  </si>
  <si>
    <t>Surgispon Spec. 80x50x1mm x 1szt.</t>
  </si>
  <si>
    <t>Surgispon Stand. 80x50x10 mm x 1szt.</t>
  </si>
  <si>
    <t>Vitamin F- maść (200 mg/g) tuba 30 g</t>
  </si>
  <si>
    <t>Vitamin F- płyn do stos. na skórę but. 70 g</t>
  </si>
  <si>
    <t>Krem antyseptyczny o działaniu kojącym i ochronnym,wspomaga i przyspiesza proces regeneracji skóry.Preparat zawiera: lanolinę, tlenek cynku, benzoesan benzylu, alkohol benzylowy. cynamonian benzylu, alkohol benzylowy.  Op. 125 g.</t>
  </si>
  <si>
    <t xml:space="preserve">Consolida regalis - płyn do stos. na skórę (834 mg/ml) but. 100 g </t>
  </si>
  <si>
    <t>Zadanie nr 58</t>
  </si>
  <si>
    <t>Zadanie nr 59</t>
  </si>
  <si>
    <t>Ascorbic acid- tabl. (200 mg)x 50 szt.</t>
  </si>
  <si>
    <t>Betamethasone - roztw.do wstrzyk.( 4mg/ml )1 ml x 1 amp.</t>
  </si>
  <si>
    <t>Caffeine,Paracetamol,Propyphenazone- tabl.x 10 szt.</t>
  </si>
  <si>
    <t>Czopki glicerynowe  1 g x 10 szt.</t>
  </si>
  <si>
    <t>Czopki glicerynowe  2 g x 10 szt.</t>
  </si>
  <si>
    <t xml:space="preserve"> Deferasirox  - tabl. powl. 180 mg x 30 szt.</t>
  </si>
  <si>
    <t xml:space="preserve"> Deferasirox  - tabl. powl. 360 mg x 30 szt.</t>
  </si>
  <si>
    <t>Diosmectite- proszek do przyg. zaw. doustnej (3 g) 30 saszetek</t>
  </si>
  <si>
    <t>Hemorol- czopki doodbytnicze 12 szt.</t>
  </si>
  <si>
    <t>Meloxicam- roztwór do wstrz. (15 mg/1,5 ml)x 3 amp. 1,5 ml</t>
  </si>
  <si>
    <t>Meloxicam- tabl. (15 mg)x 20 szt.</t>
  </si>
  <si>
    <t>Nefopam hydrochloride - tabl. powl. (30 mg)x 20 szt.</t>
  </si>
  <si>
    <t>Nimodipine- tabl. powl. (30 mg) x100 szt.</t>
  </si>
  <si>
    <t>Ornithine aspartate- roztwór do wlewu doż.(5g/10ml) x 10 amp.10 ml</t>
  </si>
  <si>
    <t>Paracetamol- czopki doodbytnicze (125 mg)x 10 szt.</t>
  </si>
  <si>
    <t>Paracetamol- czopki doodbytnicze (250 mg)x 10 szt.</t>
  </si>
  <si>
    <t>Paracetamol- czopki doodbytnicze (50 mg)x 10 szt.</t>
  </si>
  <si>
    <t>Paracetamol- czopki doodbytnicze (500 mg)x 10 szt.</t>
  </si>
  <si>
    <t>Paracetamol- tabl. (500 mg)x 50 szt.</t>
  </si>
  <si>
    <t>Paracetamol- zawiesina doustna (120 mg/5 ml) but. 150 g</t>
  </si>
  <si>
    <t>Paracetamol- zawiesina doustna (240 mg/5 ml) but. 85 ml</t>
  </si>
  <si>
    <t>Potassium chloride- syrop (391 mg K/5 ml) 1 but. 150 ml</t>
  </si>
  <si>
    <t>Pyridoxine- tabl. (50 mg)x 50 szt.</t>
  </si>
  <si>
    <t>Riboflavin- draż. (3 mg) x50 szt.</t>
  </si>
  <si>
    <t>Siemię lniane mielone - proszek 200 g</t>
  </si>
  <si>
    <t>Thiamine- tabl. (25 mg)x 50 szt.</t>
  </si>
  <si>
    <t>Tiotropium- proszek do inh. w kaps. twardych (18 µg/dawkę)x 30 szt. + HandiHaler</t>
  </si>
  <si>
    <t>Troxerutin- kaps. (300 mg)x 50 szt.</t>
  </si>
  <si>
    <t>Venescin- draż.x 30 szt.</t>
  </si>
  <si>
    <t>Vinpocetine- roztwór do wstrz. (10 mg/2 ml) x 10 amp. 2 ml</t>
  </si>
  <si>
    <t>Warfarinum natricum - tabl. 0,003 g x 100</t>
  </si>
  <si>
    <t>Warfarinum natricum - tabl.0,005 g x 100</t>
  </si>
  <si>
    <t>Zadanie nr 60</t>
  </si>
  <si>
    <t>Zadanie nr 61</t>
  </si>
  <si>
    <t>Ropivacaine hydrochloride - roztw. do wstrz. 2 mg/ml x 5 amp. 10 ml</t>
  </si>
  <si>
    <t>Ropivacaine hydrochloride - roztw. do wstrz. 5 mg/ml x 5 amp. 10 ml</t>
  </si>
  <si>
    <t>Ropivacaine hydrochloride - roztw. do wstrz. 7,5 mg/ml x 5 amp. 10 ml</t>
  </si>
  <si>
    <t>Zadanie nr 62</t>
  </si>
  <si>
    <t>Alanyl glutamine - konc. do przyg. roztw. do wlewu doż. (20 g/100 ml)  100 ml</t>
  </si>
  <si>
    <t>Alanyl glutamine - konc. do przyg. roztw. do wlewu doż. (20 g/100 ml)  50 ml</t>
  </si>
  <si>
    <t>Amino acids Infant - roztwór do inf. 10%   100 ml</t>
  </si>
  <si>
    <t>Amino acids Nephro - roztwór do inf.   500 ml</t>
  </si>
  <si>
    <t>Aqua   pro inject.  250 ml  - butelka z dwoma różnej wielkości portami</t>
  </si>
  <si>
    <t>Aqua   pro inject.  500 ml -  butelka z dwoma różnej wielkości portami</t>
  </si>
  <si>
    <t xml:space="preserve">Dekstran 10%   250 ml  </t>
  </si>
  <si>
    <t xml:space="preserve">Dekstran 10%   500 ml  </t>
  </si>
  <si>
    <t>Fish oil - emulsja do inf.  100 ml</t>
  </si>
  <si>
    <t>Fish oil - emulsja do inf. 50 ml</t>
  </si>
  <si>
    <t xml:space="preserve">Glucosum  10%   250 ml  </t>
  </si>
  <si>
    <t xml:space="preserve">Glucosum  20%   250 ml  </t>
  </si>
  <si>
    <t xml:space="preserve">Glucosum  20%   500 ml </t>
  </si>
  <si>
    <t>Injectio  Glucosi 5% et Natrii  chlorati   0,9% 1 : 1  500 ml - butelka z dwoma różnej wielkości portami</t>
  </si>
  <si>
    <t>Injectio Glucosi   5% et Natrii  chlorati  0,9%  1 : 1 250 ml - butelka z dwoma różnej wielkości portami</t>
  </si>
  <si>
    <t xml:space="preserve">Mannitol 20%- roztwór do inf. (200 mg/ml) 100 ml </t>
  </si>
  <si>
    <t xml:space="preserve">Mannitol 20%- roztwór do inf. (200 mg/ml) 250 ml </t>
  </si>
  <si>
    <t>Natrium   chloratum  0,9%   100 ml -  butelka z dwoma różnej wielkości portami</t>
  </si>
  <si>
    <t>Natrium   chloratum  0,9%   250 ml - butelka z dwoma różnej wielkości portami</t>
  </si>
  <si>
    <t>Natrium   chloratum  0,9%   500 ml  - butelka z dwoma różnej wielkości portami</t>
  </si>
  <si>
    <t>Trójkomorowy worek do wkłucia centralnego o poj. 506ml , zawierający 5,3 g azotu, energii niebiałkowej 317 kcal. Zawierający mieszaninę 4 rodzajów emulsji tłuszczowej w tym olej rybi , olej sojowy, MCT,olej z oliwek, węglowodany i elektrolity, taurynę bez kwasu glutaminowego x 6  szt.</t>
  </si>
  <si>
    <t>Trójkomorowy worek do wkłucia centralnego o poj. 1012ml , zawierający 10,6 g azotu, energii niebiałkowej 635 kcal. Zawierający mieszaninę 4 rodzajów emulsji tłuszczowej w tym olej rybi , olej sojowy, MCT,olej z oliwek, węglowodany i elektrolity, taurynę bez kwasu glutaminowego x 4 szt.</t>
  </si>
  <si>
    <t>Trójkomorowy worek do wkłucia centralnego o poj. 1518ml , zawierający 15,9 g azotu, energii niebiałkowej 952 kcal. Zawierający mieszaninę 4 rodzajów emulsji tłuszczowej w tym olej rybi, olej sojowy, MCT,olej z oliwek, węglowodany i elektrolity, taurynę bez kwasu glutaminowego x 4 szt.</t>
  </si>
  <si>
    <t>Solutio   Ringeri    250 ml- butelka z dwoma różnej wielkości portami</t>
  </si>
  <si>
    <t>Zadanie nr 63</t>
  </si>
  <si>
    <t>Gadobutrolum  604,72 mg/ml   15 ml</t>
  </si>
  <si>
    <t>Gadobutrolum  604,72 mg/ml   10 ml</t>
  </si>
  <si>
    <t>Gadobutrolum  604,72 mg/ml   7,5 ml</t>
  </si>
  <si>
    <t xml:space="preserve">Gadoxetate disodium 2,5 mmol/10 ml </t>
  </si>
  <si>
    <t>amp.-strzyk.</t>
  </si>
  <si>
    <t>Iopromidum 768,86mg /ml fl  100 ml x 10</t>
  </si>
  <si>
    <t>Iopromidum 768,86mg/ml    500 ml x 8 fl.</t>
  </si>
  <si>
    <t>Meglumini amidotrizoas  100 ml - do stosowania doustnego i doodbyyniczego x 10</t>
  </si>
  <si>
    <t>Zadanie nr 64</t>
  </si>
  <si>
    <t>Zadanie nr 67</t>
  </si>
  <si>
    <t xml:space="preserve">Amitriptyline hydrochloride - draż. (10 mg)x 60 szt. </t>
  </si>
  <si>
    <t>Amitriptyline hydrochloride - draż. (25 mg)x 60 szt.</t>
  </si>
  <si>
    <t xml:space="preserve">Agomelatine - tabl. powl. 25 mg 28 szt. </t>
  </si>
  <si>
    <t>Aripiprazole -7,5 mg/ml roztwór do wstrzykiwań x 1 fiol.</t>
  </si>
  <si>
    <t xml:space="preserve">Benserazide/Levodopa - kaps. 62,5 x 100 szt. </t>
  </si>
  <si>
    <t xml:space="preserve">Benserazide/Levodopa - kaps. HBS  125 x 100 szt. </t>
  </si>
  <si>
    <t xml:space="preserve">Benserazide/Levodopa - tabl. do sporz. zaw. doustnej 62,5 x 100 szt. </t>
  </si>
  <si>
    <t>Biperiden hydrochloride - tabl. (2 mg)x 50 szt.</t>
  </si>
  <si>
    <t>Bupropion hydrochloride - tabl. powl. o zmodyf. uwalnianiu (150 mg)x 30 szt.</t>
  </si>
  <si>
    <t xml:space="preserve">Chlorprothixene - tabl. powl. (15 mg)x 50 szt. </t>
  </si>
  <si>
    <t xml:space="preserve">Chlorprothixene - tabl. powl. (50 mg)x 50 szt. </t>
  </si>
  <si>
    <t xml:space="preserve">Citalopram - tabl. powl. (20 mg)x 28 szt. </t>
  </si>
  <si>
    <t xml:space="preserve">Clomipramine hydrochloride - tabl. powl. o przedł. uwalnianiu (75 mg)x 20 szt. </t>
  </si>
  <si>
    <t>Clozapine - tabl. (100 mg)x 50 szt.</t>
  </si>
  <si>
    <t>Clozapine - tabl. (25 mg)x 50 szt.</t>
  </si>
  <si>
    <t xml:space="preserve">Doxepin - kaps. (10 mg)x 30 szt. </t>
  </si>
  <si>
    <t>Doxepin kaps. (25 mg)x 30 szt.</t>
  </si>
  <si>
    <t xml:space="preserve"> Duloxetine - kaps. dojelitowe, twarde 30 mg x 28 szt. </t>
  </si>
  <si>
    <t xml:space="preserve"> Duloxetine - kaps. dojelitowe, twarde 60 mg x 28 szt. </t>
  </si>
  <si>
    <t>Flupentixol - tabl. powl. 0,5 mg x  50 szt.</t>
  </si>
  <si>
    <t>Flupentixol - tabl. powl. 3 mg x 50 szt.</t>
  </si>
  <si>
    <t>Flupentixol - inj.20 mg/ml 1 amp. 1 ml</t>
  </si>
  <si>
    <t>Gabapentin  - kaps. twarde (100 mg) 100 szt.</t>
  </si>
  <si>
    <t>Gabapentin  - kaps. twarde (300 mg) 100 szt.</t>
  </si>
  <si>
    <t xml:space="preserve">Hydroxyzine hydrochloride - syrop (1,6 mg/g) but. 250 g </t>
  </si>
  <si>
    <t>Lamotrigine tabl.100 mg x 30</t>
  </si>
  <si>
    <t>Levomepromazine - roztwór do wstrz. (25 mg/ml)x 10 amp. 1 ml</t>
  </si>
  <si>
    <t>Levomepromazine - tabl. powl. (25 mg)x 50 szt.</t>
  </si>
  <si>
    <t>Lurasidone - tabl. powl. 74 mg x 28 szt.</t>
  </si>
  <si>
    <t>Paroxetine - tabl. powl. (20 mg)x 30 szt.</t>
  </si>
  <si>
    <t xml:space="preserve">Perazine - tabl. (100 mg)x 30 szt. </t>
  </si>
  <si>
    <t xml:space="preserve">Perazine - tabl. (25 mg)x 50 szt. </t>
  </si>
  <si>
    <t xml:space="preserve">Phenobarbital  tabl.. 0,015 G x 10 </t>
  </si>
  <si>
    <t xml:space="preserve">Phenobarbital  tabl.. 0,100 G x 10 </t>
  </si>
  <si>
    <t xml:space="preserve">Promazine hydrochloride - tabl. drażowane (25 mg)x 60 szt. </t>
  </si>
  <si>
    <t xml:space="preserve">Promazine hydrochloride - tabl. drażowane (50 mg)x 60 szt. </t>
  </si>
  <si>
    <t>Reboxetine - tabl. (4 mg)x 20 szt.</t>
  </si>
  <si>
    <t>Risperidone - mikrokaps. o przedł. uwalnianiu i rozp. do przyg. zaw. do wstrz. (25 mg) 1 zestaw</t>
  </si>
  <si>
    <t>zest</t>
  </si>
  <si>
    <t>Risperidone - mikrokaps. o przedł. uwalnianiu i rozp. do przyg. zaw. do wstrz. (37,5 mg) 1 zestaw</t>
  </si>
  <si>
    <t>Risperidone - mikrokaps. o przedł. uwalnianiu i rozp. do przyg. zaw. do wstrz. (50 mg) 1 zestaw</t>
  </si>
  <si>
    <t>Risperidone- tabl. ulegające rozpadowi w jamie ustnej (1 mg)x 20 szt.</t>
  </si>
  <si>
    <t>Risperidone- tabl. ulegające rozpadowi w jamie ustnej  (2 mg)x 20 szt.</t>
  </si>
  <si>
    <t>Risperidone - tabl. ulegające rozpadowi w jamie ustnej (3 mg)x 30 szt.</t>
  </si>
  <si>
    <t>Risperidone - tabl. ulegające rozpadowi w jamie ustnej (4 mg)x 30 szt.</t>
  </si>
  <si>
    <t>Sertindole - tabl. powl. (12 mg)x 28 szt.</t>
  </si>
  <si>
    <t>Sertindole - tabl. powl. (16 mg)x 28 szt.</t>
  </si>
  <si>
    <t>Sertindole - tabl. powl. (4 mg)x 30 szt.</t>
  </si>
  <si>
    <t>Sulpiride - kaps. (100 mg)x 24 szt.</t>
  </si>
  <si>
    <t>Sulpiride - kaps. (50 mg)x 24 szt.</t>
  </si>
  <si>
    <t>Trazodone hydrochloride - tabl. o przedł. uwalnianiu (150 mg)x 60 szt.</t>
  </si>
  <si>
    <t>Zopiclone - tabl. powl. (7,5 mg)x 20 szt.</t>
  </si>
  <si>
    <t>CLORAZEPATE DIPOTASSIUM - proszek i rozp. do sporz. roztw. do wstrz. (20 mg/2 ml) 5 fiolek + rozp.</t>
  </si>
  <si>
    <t>Zadanie nr 18</t>
  </si>
  <si>
    <t>SALBUTAMOL SULPHATE aerozol (100 µg/dawkę) 200 D</t>
  </si>
  <si>
    <t>SALBUTAMOL SULPHATE płyn neb. 1mg/ml 2,5ml x 20amp.</t>
  </si>
  <si>
    <t>Zadanie nr 65</t>
  </si>
  <si>
    <t xml:space="preserve">Amylum triticum x 25 g </t>
  </si>
  <si>
    <t xml:space="preserve">Eucerinum </t>
  </si>
  <si>
    <t>kg</t>
  </si>
  <si>
    <t>Glucosum subst.</t>
  </si>
  <si>
    <t>Glycerinum  płyn</t>
  </si>
  <si>
    <t>Hydrocortisonum x 10 g</t>
  </si>
  <si>
    <t>Kalium hypermanganicum  100 mg x 30 tabl.</t>
  </si>
  <si>
    <t>Natrii chloridum subs. x 100 g</t>
  </si>
  <si>
    <t>Natrii citras  100 g</t>
  </si>
  <si>
    <t>Spiritus salicylatus x  800 g</t>
  </si>
  <si>
    <t>Zadanie nr 68</t>
  </si>
  <si>
    <t>WAPNO ABSORBOWANE  o  parametrach : absorbcja dwutlenku węgla  120 - 170 L CO2 / 1 KG wapna , wałeczki o średnicy 3 mm o twardości na optymalnym poziomie 89 % -98 % ,zawartość pyłu nie więcej niż na poziomie 0,3 % , brak obecności KOH , zawartość wilgoci 13,5 % -17,5 %, wskaźnik zużycia.      Op. 5 L.</t>
  </si>
  <si>
    <t>Zadanie nr 69</t>
  </si>
  <si>
    <t>Zadanie nr 70</t>
  </si>
  <si>
    <t>Fluconazole- roztwór do inf. (2 mg/ml)   50 ml x 10</t>
  </si>
  <si>
    <t>Fluconazole- roztwór do inf. (2 mg/ml)  100 ml x 10</t>
  </si>
  <si>
    <t>Fluconazole- roztwór do inf. (2 mg/ml)  200 ml x 10</t>
  </si>
  <si>
    <t>PATENTBLAU V - inj. 2,5%/ 2 ml x 5 amp.</t>
  </si>
  <si>
    <t>Vitamin B1 - inj. i.v. (50 mg/ml)  2 ml  x 5 amp.</t>
  </si>
  <si>
    <t xml:space="preserve">Ferric isomaltose -  roztw. do wstrz. i inf. (500 mg Fe III/5ml)  x 5 fiol. 5 ml </t>
  </si>
  <si>
    <t>Formalina 10% buforowana gotowa do użycia roztw. x 20L</t>
  </si>
  <si>
    <t>Kranik na kanister z formaliną z dopasowanym gwintem do op. a 20 l</t>
  </si>
  <si>
    <t>Alkohol etylowy całkowicie skażony A 01 99,88 % x 5 L</t>
  </si>
  <si>
    <t>Alkohol etylowy całkowicie skażony R  01 96 % x 5 L</t>
  </si>
  <si>
    <t>Prismasol 2K     5 l x 2 worki</t>
  </si>
  <si>
    <t>Prismasol 4K     5 l x 2 worki</t>
  </si>
  <si>
    <t xml:space="preserve">Phoxilium           5 l x 2 worki </t>
  </si>
  <si>
    <t>Prismocitrat    18/0     5 l x 2 worki</t>
  </si>
  <si>
    <t>g</t>
  </si>
  <si>
    <t>Immunoglobulina ludzka normalna roztwór 5% lub 10 %  poj. 50 ml, 100 ml, 200 ml</t>
  </si>
  <si>
    <t>Amphotericin B w liposomach -   proszek do sporządzania dyspersji do infuzji 50 mg x 1 fiol.</t>
  </si>
  <si>
    <t>Anti-D  ( rh ) immunoglobulin -roztw. do wstrz. 50 µg/ml 1 amp.</t>
  </si>
  <si>
    <t>Anti-D  ( rh ) immunoglobulin -roztw. do wstrz. 150 µg/ml 1 amp.</t>
  </si>
  <si>
    <t>Anti-D  ( rh ) immunoglobulin -roztw. do wstrz. 300 µg/2ml  1 amp.-strzyk. 2 ml</t>
  </si>
  <si>
    <t>Ludzki kompleks protrombiny: Factor II, Factor VII, Factor IX, Factor X, Protein C, Protein S  - proszek i rozp. do sporz. roztw. do wstrz. 500 j.m.  1 fiol. + rozp. 20 ml</t>
  </si>
  <si>
    <t>Thiopental sodium  500 mg  inj.</t>
  </si>
  <si>
    <t>Thiopental sodium  1000 mg inj.</t>
  </si>
  <si>
    <t xml:space="preserve">DROTAVERINE HYDROCHL. tbl. 0.08 g x 20 </t>
  </si>
  <si>
    <t>DROTAVERINE HYDROCHLOR. inj. 0.04 g/2ml x 5</t>
  </si>
  <si>
    <t xml:space="preserve">TRANEXAMIC ACID - roztwór do wstrz. (500 mg/5 ml) x 5 amp. 5 ml </t>
  </si>
  <si>
    <t>TRANEXAMIC ACID - tabl. powl. (500 mg) x 20 szt.</t>
  </si>
  <si>
    <t xml:space="preserve">DESFLURANE   płyn do inh.  240 ml </t>
  </si>
  <si>
    <t>Wchłanialna gąbka  hemostatyczna zbudowana z kolagenu  stosowana miejscowo na powierzchni ran podczas zabiegów chirurgicznych w celu zatamowania krwawienia, używana również do zamknięcia uszkodzeń opony twardej. Rozmiar: 2,7 x 2,7 cm x 5 szt.</t>
  </si>
  <si>
    <t xml:space="preserve">Cisatracurium  inj./inf. 2 mg/ml  x 5 amp. 5 ml </t>
  </si>
  <si>
    <t xml:space="preserve">Cisatracurium  inj./inf. 2 mg/ml  x 5 amp. 2,5 ml </t>
  </si>
  <si>
    <t>Bupivacaine hydrochloride Spinal 0,5% Heavy - roztw. do wstrz. (5 mg/ml) 5 fiolek 4 ml</t>
  </si>
  <si>
    <t>Mivacurium chloride- roztwór do wstrz. doż. (10 mg/5 ml) x 5 amp. 5 ml</t>
  </si>
  <si>
    <t>Mivacurium chloride- roztwór do wstrz. doż. (20 mg/10 ml) x 5 amp. 10 ml</t>
  </si>
  <si>
    <t>MICAFUNGIN -proszek do sporz. roztw. do inf. (50 mg) 1 fiolka 10 ml</t>
  </si>
  <si>
    <t>MICAFUNGIN -proszek do sporz. roztw. do inf. (100 mg) 1 fiolka 10 ml</t>
  </si>
  <si>
    <t>GLICYNA 1,5% roztwór do przepłukiwania (15 mg/ml) worek 3000 ml</t>
  </si>
  <si>
    <t>GLICYNA 1,5% roztwór do przepłukiwania (15 mg/ml) worek 5000 ml</t>
  </si>
  <si>
    <t>Glucosum      5%   250 ml  worek</t>
  </si>
  <si>
    <t>Glucosum      5%    500 ml  worek</t>
  </si>
  <si>
    <t>Glucosum     10%      500 ml  worek</t>
  </si>
  <si>
    <t>Glucosum     5%   1000 ml worek</t>
  </si>
  <si>
    <t>Injectio Glucosi  5%  et Natrii  chlorati  0,9%  2 :1  250 ml</t>
  </si>
  <si>
    <t>Injectio Glucosi   5% et Natrii  chlorati   0,9%  2 : 1  500ml</t>
  </si>
  <si>
    <t xml:space="preserve">Mannitol 15%- roztwór do inf. (150 mg/ml) worek 100 ml  x 60 </t>
  </si>
  <si>
    <t>Natrium   chloratum  0,9%   100 ml  worek z możliwością dostrzyknięcia min. 70 ml leku</t>
  </si>
  <si>
    <t>Natrium   chloratum  0,9%   250 ml  worek  z możliwością dostrzyknięcia min. 100 ml leku</t>
  </si>
  <si>
    <t>Natrium   chloratum  0,9%   500 ml  worek  z możliwością dostrzyknięcia min. 200 ml leku</t>
  </si>
  <si>
    <t>Natrium chloratum  0,9%   1000 ml worek</t>
  </si>
  <si>
    <t xml:space="preserve">Natrium chloratum 0,9% - roztwór do przepłukiwania (9 mg/ml)  3000 ml worek </t>
  </si>
  <si>
    <t>Roztwór do infuzji zawierający glukozę, chlorek sodu, potasu, magnezu - 1000 ml  worek</t>
  </si>
  <si>
    <t xml:space="preserve"> Solutio     Ringeri    500 ml  worek</t>
  </si>
  <si>
    <t>4% Icodextryna  1500 ml x 5 szt.</t>
  </si>
  <si>
    <t>Woda do iryg. butelka typu ,, pour bottle" 500 ml</t>
  </si>
  <si>
    <t xml:space="preserve">Płyn  Wieloelektrolitowy :
    chlorek sodu - 5,26 g/l,
   chlorek potasu - 0,37 g/l,
  chlorek sześciowodny magnezu - 0,30 g/l,
glukonian sodu - 5,02 g/l,
  octan trójwodny sodu - 3,68 g/l,
 500 ml </t>
  </si>
  <si>
    <t xml:space="preserve">Płyn Wieloelektrolitowy:
chlorek sodu - 5,26 g/l,
 chlorek potasu - 0,37 g/l,
  chlorek sześciowodny magnezu - 0,30 g/l,
  glukonian sodu - 5,02 g/l,
    octan trójwodny sodu - 3,68 g/l,
 1000 ml  </t>
  </si>
  <si>
    <t>Roztwór do infuzji zawierający: sodu chlorek 6,00 g/l
potasu chlorek 0,40 g/l
wapnia chlorek dwuwodny 0,27 g/l
sodu mleczan 3,20 g/l  -   worek 500 ml</t>
  </si>
  <si>
    <t>AMIKACIN  5MG/ML, 100 ML x 10</t>
  </si>
  <si>
    <t>AQUA PRO INIECTIONE- BUTELKA STOJĄCA WYPOSAŻONA W DWA NIEZALEŻNIE ZABEZPIECZONE, IDENTYCZNE PORTY, 100 ML, SZT</t>
  </si>
  <si>
    <t>AQUA PRO INIECTIONE- BUTELKA STOJĄCA WYPOSAŻONA W DWA NIEZALEŻNIE ZABEZPIECZONE, IDENTYCZNE PORTY, 500 ML, SZT</t>
  </si>
  <si>
    <t xml:space="preserve"> Worek dwukomorowy do żywienia pozjelitowego zawierający aminokwasy, glukozę, elektrolity o zawartości azotu 15g, energia całkowita 1860kacl,osmolarność 2100 mOsm/l, pojemności 1500ml x 5</t>
  </si>
  <si>
    <t>Worek dwukomorowy do żywienia pozjelitowego zawierający aminokwasy, glukozę, elektrolity o zawartości azotu 6,8g, energia całkowita 790kacl, osmolarność 1400 mOsm/l, pojemności 1000ml x 5</t>
  </si>
  <si>
    <t xml:space="preserve">ETOMIDATE SULPHATE  - emulsja do wstrz. doż. (20 mg/10 ml) x 10 amp. 10 ml </t>
  </si>
  <si>
    <t>GLUCOSUM 10% - BUTELKA STOJĄCA WYPOSAŻONA W DWA NIEZALEŻNIE ZABEZPIECZONE, IDENTYCZNE PORTY, 500 ML, SZT</t>
  </si>
  <si>
    <t>GLUCOSUM 20% - BUTELKA STOJĄCA WYPOSAŻONA W DWA NIEZALEŻNIE ZABEZPIECZONE, IDENTYCZNE PORTY, 500 ML, SZT</t>
  </si>
  <si>
    <t xml:space="preserve">GLUCOSUM 40% ROZWTÓR DO WLEWU DOŻYLNEGO FL 500ML x 10 szt. </t>
  </si>
  <si>
    <t>GLUCOSUM 5% - BUTELKA STOJĄCA WYPOSAŻONA W DWA NIEZALEŻNE, IDENTYCZNE PORTY, 250 ML, SZT</t>
  </si>
  <si>
    <t>GLUCOSUM 5% - BUTELKA STOJĄCA WYPOSAŻONA W DWA NIEZALEŻNIE ZABEZPIECZONE, IDENTYCZNE PORTY, 500 ML, SZT</t>
  </si>
  <si>
    <t>Ibuprofen  roztwór do infuzji -400 mg/100 ml x 20 but. 100 ml</t>
  </si>
  <si>
    <t>Koncentrat 9 pierwiastków śladowych, zawierający :żelazo ,miedź, chrom, mangan, molibden, selen, jod, fluor oraz cynk w ilości 40-50 mikromola w jednej ampułce a 10 ml x  5 amp.</t>
  </si>
  <si>
    <t>LIDOCAINE HYDROCHLORIDE 2%  inj. 0,02 g/ml   10 ml x 20 poj.</t>
  </si>
  <si>
    <t>Preparat multiwitaminowy do stosowania u dorosłych i dzieci w wieku 11 lat i starszych. Preparat w postaci proszku do sporządzania roztworu do infuzji, zawierający 13 witamin, w tym witaminę K. Ilość poszczególnych witamin zgodna z rekomendacjami ESPEN dotyczącymi podaży witamin pacjentom żywionym pozajelitowo: Witamina B1  6,00 mg; Witamina B2 3,60 mg; Witamina B3 40 mg; Witamina B9 600 mg; Witamina B5 15,00 mg; Witamina B6 6,00 mg; Witamina B12 5 µg; Witamina B7 60 µg; Witamina C 200 mg; Witamina A 3300 IU; Witamina D  200 IU; Witamina E 10 IU; Witamina K 150 µg. Zgodnie z chpl możliwość dodawania do worków 2 i 3-komorowych do żywienia pozajelitowego oraz 5% roztworu glukozy i 0,9% roztworu NaCl. x 10 fiol.</t>
  </si>
  <si>
    <t>MODYFIKOWANA PŁYNNA ŻELATYNA. ROZTW. DO INF.WRAZ Z ELEKTROLITAMI (Ca, Mg, K, Na)- 500 ML, SZT x 10</t>
  </si>
  <si>
    <t>NATRIUM CHLORATUM 0,9 % - BUTELKA STOJĄCA WYPOSAŻONA W DWA NIEZALEŻNIE ZABEZPIECZONE, IDENTYCZNE PORTY, 100 ML, SZT</t>
  </si>
  <si>
    <t>NATRIUM CHLORATUM 0,9 % - BUTELKA STOJĄCA WYPOSAŻONA W DWA NIEZALEŻNIE ZABEZPIECZONE, IDENTYCZNE PORTY, 500 ML, SZT</t>
  </si>
  <si>
    <t>NATRIUM CHLORATUM 0,9 % - BUTELKA STOJĄCA WYPOSAŻONA W DWA NIEZALEŻNIE ZABEZPIECZONE, IDENTYCZNE PORTY,1000 ML,</t>
  </si>
  <si>
    <t>NATRIUM CHLORATUM 0,9 % BUTELKA STOJĄCA WYPOSAŻONA W DWA NIEZALEŻNIE ZABEZPIECZONE, IDENTYCZNE PORTY, 250 ML, SZT</t>
  </si>
  <si>
    <t>NATRIUM CHLORATUM 0,9% PŁYN DO PRZEPŁUKIWAŃ OBJĘTOŚĆ 500 ML</t>
  </si>
  <si>
    <t xml:space="preserve">PROPOFOL 1% emuls do wstrz.(200 mg/20 ml) 20 ml x 5 </t>
  </si>
  <si>
    <t>ROZTWÓR AMINOKWASÓW   10%  DO ŻYWIENIA POZAJELITOWEGO PACJENTÓW Z NIEWYDOLNOŚCIĄ WĄTROBY 500 ML</t>
  </si>
  <si>
    <t>ROZTWÓR RINGERA  - BUTELKA STOJĄCA WYPOSAŻONA W DWA NIEZALEŻNIE ZABEZPIECZONE, IDENTYCZNE PORTY, 500 ML, SZT</t>
  </si>
  <si>
    <t>STERYLNY ROZTWÓR WODNY ZAWIERAJĄCY 0,1% POLIHEXANIDYNĘ ORAZ 0,1% UNDECYLENAMIDOPROPYL BETAINĘ  350 ML</t>
  </si>
  <si>
    <t>STERYLNY ŻEL ZAWIERAJĄCY 0,1% POLIHEXANIDYNĘ ORAZ 0,1% UNDECYLENAMIDOPROPYL BETAINĘ 30 ML</t>
  </si>
  <si>
    <t>Trzykomorowy zestaw  do całkowitego żywienia pozajelitowego, zawierający : roztwór aminokwasów z elektrolitami, roztwór glukozy z cynkiem,  emulsję tłuszczową MCT/LCT 50:40 oraz 10% olej rybi - 2,2-2,5g kwasów omega 3 , do podaży drogą żyły centralnej. Zawierający  5,0 - 5,2 g azotu - objętość  625 ml x 5</t>
  </si>
  <si>
    <t xml:space="preserve"> Trzykomorowy zestaw  do całkowitego żywienia pozajelitowego,  zawierający: roztwór aminokwasów z elektrolitami, roztwór glukozy z cynkiem, emulsję tłuszczową MCT/LCT 50:40 , 10% olej rybi, do podaży drogą żył obwodowych i centralnych. Zawierający  8,2-8,6 g azotu - objętość 1875 ml x 5</t>
  </si>
  <si>
    <t>Trzykomorowy zestaw  do całkowitego żywienia pozajelitowego, zawierający: roztwór aminokwasów z elektrolitami, roztwór glukozy z cynkiem,  emulsję tłuszczową MCT/LCT 50:40, 10% olej rybi,do podaży drogą żył obwodowych i centralnych. Zawierający  5,6-5,8 g azotu - objętość 1250ml x 5</t>
  </si>
  <si>
    <t xml:space="preserve"> Trzykomorowy zestaw  do całkowitego żywienia pozajelitowego zawierający : roztwór aminokwasów z elektrolitami, roztwór glukozy z cynkiem,  emulsję tłuszczową MCT/LCT 50:40 oraz 10% olej rybi - 4,7-5,0g kwasów omega 3 , do podaży drogą żyły centralnej. Zawierający  10,0 - 10,2 g azotu - objętość  1250 ml x 5</t>
  </si>
  <si>
    <t>Uro-Tainer Suby G 3.2 % 100 ml x 10 szt.</t>
  </si>
  <si>
    <t>Uro-Tainer - PHMB 0.02% polihexanidyny 100 ml x 10 szt.</t>
  </si>
  <si>
    <t>Trazodone hydrochloride - tabl. powl. o przedł. uwalnianiu 300 mg x 30 szt.</t>
  </si>
  <si>
    <t>Zuclopenthixol dihydrochloride - tabl. powl. 10 mg x 100 szt.</t>
  </si>
  <si>
    <t>Zuclopenthixol dihydrochloride - tabl. powl. 25 mg x 100 szt.</t>
  </si>
  <si>
    <t>Zuclopenthixol decanate - inj.200 mg/ml x 1 amp.</t>
  </si>
  <si>
    <t>Zuclopenthixol acetate  - inj.0,05g/1ml x 5 amp.</t>
  </si>
  <si>
    <t>Prismocal   B 22        5 l x 2 worki</t>
  </si>
  <si>
    <t>Solifenacin TABL. POWL. 0,005 G x 30 TABL.</t>
  </si>
  <si>
    <t>Misoprostol TABL. 0,025 MG x8 TABL.</t>
  </si>
  <si>
    <t xml:space="preserve">Famotidine tabl. 40mg x 60 </t>
  </si>
  <si>
    <t>IBUPROFEN INJ. 0,4 G/100 ML x 20 BUTELEK</t>
  </si>
  <si>
    <t>PYRIDOSTIGMINE BROMIDE DRAŻ. 0,06 G [x150 TABL. DRAŻOWANYCH]</t>
  </si>
  <si>
    <t>PROPAFENONE INJ. 0,07 G/20 ML [x5 AMP.]</t>
  </si>
  <si>
    <t>FONDAPARINUX INJ. 0,0025 G/0,5 ML [x10 AMPUłKOSTRZYKAWEK]</t>
  </si>
  <si>
    <t>FRAXIPARINE   INJ. 2850 J.M./0,3 ML [x10 AMPUŁKOSTRZYKAWEK]</t>
  </si>
  <si>
    <t>FRAXIPARINE   INJ. 3800 J.M./0,4 ML [x10 AMPUŁKOSTRZYKAWEK]</t>
  </si>
  <si>
    <t>FRAXIPARINE   INJ. 5700 J.M./0,6 ML [x10 AMPUŁKOSTRZYKAWEK]</t>
  </si>
  <si>
    <t>FRAXIPARINE   INJ. 7600 J.M./0,8 ML [x10 AMPUŁKOSTRZYKAWEK]</t>
  </si>
  <si>
    <t>FRAXIPARINE   INJ. 9500 J.M./1 ML [x10 AMPUŁKOSTRZYKAWEK]</t>
  </si>
  <si>
    <t>TICAGRELOR   TABL. POWL. 0,09 G [x56 TABL.]</t>
  </si>
  <si>
    <t>ERYTHROMYCINUM INTRAVENOSUM INJ. 0,3 G [x1 FIOL.]</t>
  </si>
  <si>
    <t xml:space="preserve">TRANEXAMIC ACID - roztwór do wstrz. (1000 mg/10 ml) x 5 amp. 10 ml </t>
  </si>
  <si>
    <t>Apixaban   TABL. POWL. 0,0025 G [x60 TABL.]</t>
  </si>
  <si>
    <t>Apixaban   TABL. POWL. 0,005 G [x60 TABL.]</t>
  </si>
  <si>
    <t>Ganciclovir i.v. 500mg x 1 fiol.</t>
  </si>
  <si>
    <t>CLOTRIMAZOLE  TABL. DOPOCHWOWE 0,1 G [x6 TABL.]</t>
  </si>
  <si>
    <t>CLOTRIMAZOLE   KREM 1% [x20 G]</t>
  </si>
  <si>
    <t>SACUBITRIL / VALSARTAN 24 MG/26 MG   TABL. POWL. 24 MG/26 MG [x28 TABL.]</t>
  </si>
  <si>
    <t>SACUBITRIL / VALSARTAN 49 MG/51 MG   TABL. POWL. 49 MG/51 MG [x56 TABL.]</t>
  </si>
  <si>
    <t>SACUBITRIL / VALSARTAN 97 MG/103 MG   TABL. POWL. 97 MG/103 MG [x56 TABL.]</t>
  </si>
  <si>
    <t>LACIDIPINE  TABL. POWL. 0,004 G [x28 TABL.]</t>
  </si>
  <si>
    <t>MERCAPTOPURINE TABL. 0,05 G [x30 TABL.]</t>
  </si>
  <si>
    <t>FOSFOMYCIN 3 G   GRANULAT -&gt; PŁYN 3 G [x1 TOREBKA 8 G]</t>
  </si>
  <si>
    <t>NALDEMEDINE  TABL. POWL. 0,2 MG [x28 TABL.]</t>
  </si>
  <si>
    <t>Propofol 500mg/50ml x 1 ampułkostrzykawka RTA</t>
  </si>
  <si>
    <t>Topiramate tabl. powl. 25mg x 28 szt.</t>
  </si>
  <si>
    <t xml:space="preserve">op. </t>
  </si>
  <si>
    <t xml:space="preserve">Paraffinum liquidum  800 g </t>
  </si>
  <si>
    <t>Idarucizumab inf./inj. [roztw.] 2,5 g/50 ml 2 fiol. 50 ml</t>
  </si>
  <si>
    <t>HEPARINE 500 UI   ROZTW.DO PŁUKANIA 5 ML [x10 AMP.]</t>
  </si>
  <si>
    <t>165.</t>
  </si>
  <si>
    <t>FLECAINIDE ACETATE  TABL. 0,05 G [x30 TABL.]</t>
  </si>
  <si>
    <t>FLECAINIDE ACETATE  TABL. 0,1 G [x30 TABL.]</t>
  </si>
  <si>
    <t>CANAGLIFLOZIN TABL. POWL. 0,1 G [x30 TABL.]</t>
  </si>
  <si>
    <t>CANAGLIFLOZIN TABL. POWL. 0,3 G [x30 TABL.]</t>
  </si>
  <si>
    <t>IPIDACRINE HYDROCHLORIDE INJ. 5mg/1ml [x10 AMP.]</t>
  </si>
  <si>
    <t>IPIDACRINE HYDROCHLORIDE INJ. 15mg/1 ML [x10 AMP.]</t>
  </si>
  <si>
    <t>IPIDACRINE HYDROCHLORIDE TABL. 20mg [x50 TABL.]</t>
  </si>
  <si>
    <t>KWAS OCTOWY 3%   PŁYN 3% [x100 ML]</t>
  </si>
  <si>
    <t xml:space="preserve">Quetiapine - tabl. o przedł. uwalnianiu (XR) 300 mg x 60 </t>
  </si>
  <si>
    <t xml:space="preserve">Quetiapine - tabl. 100 mg x 60 </t>
  </si>
  <si>
    <t xml:space="preserve">Quetiapine - tabl. 200 mg x 60 </t>
  </si>
  <si>
    <t xml:space="preserve">Quetiapine - tabl. 300 mg x 60 </t>
  </si>
  <si>
    <t xml:space="preserve">Quetiapine - tabl. o przedł. uwalnianiu (XR) 150mg x 60 </t>
  </si>
  <si>
    <t xml:space="preserve">Quetiapine - tabl. o przedł. uwalnianiu (XR) 50mg x 30 </t>
  </si>
  <si>
    <t xml:space="preserve">Quetiapine - tabl. o przedł. uwalnianiu (XR) 200mg x 60 </t>
  </si>
  <si>
    <t xml:space="preserve">Quetiapine - tabl. 25 mg x 30 </t>
  </si>
  <si>
    <t>Alfa lipoic acid i.v. 600mg/24ml x 1 fiol.</t>
  </si>
  <si>
    <t>Dalbavancin i.v. 500mg x 1 fiol.</t>
  </si>
  <si>
    <t>Ferric carboxymaltose 500mg/10ml x 1 fiol.</t>
  </si>
  <si>
    <t>Kalii chloridum 0,3% + Natrii chloridum 0,9% 500ml - butelka z dwoma różnej wielkości portami</t>
  </si>
  <si>
    <t>Glucosum 5%   100 ml  - butelka z dwoma różnej wielkości portami</t>
  </si>
  <si>
    <t>Glucosum 5%   250 ml  - butelka z dwoma różnej wielkości portami</t>
  </si>
  <si>
    <t xml:space="preserve">Glucosum  10%   500 ml  </t>
  </si>
  <si>
    <t>Lamivudine tabl. 100 mg x 28 szt.</t>
  </si>
  <si>
    <t>Methadone syrop 1mg/ml x 100ml</t>
  </si>
  <si>
    <t>Midazolam płyn doustny 5mg, strzykawka RTA</t>
  </si>
  <si>
    <t>Midazolam płyn doustny 2,5mg, strzykawka RTA</t>
  </si>
  <si>
    <t>Midazolam płyn doustny 10mg, strzykawka RTA</t>
  </si>
  <si>
    <t>Brexpiprazole tabl. 1 mg x 28 szt.</t>
  </si>
  <si>
    <t>Brexpiprazole tabl. 2 mg x 28 szt.</t>
  </si>
  <si>
    <t>Brexpiprazole tabl. 3 mg x 28 szt.</t>
  </si>
  <si>
    <t>Brexpiprazole tabl. 4 mg x 28 szt.</t>
  </si>
  <si>
    <t>Montelukast tbl. 10mg x 28 szt</t>
  </si>
  <si>
    <t>Morphini sulfas SPINAL 2mg/2ml x 10 amp.</t>
  </si>
  <si>
    <t>Metronidazol r-ór do infuzji 0,5% 100ml x 40 szt.</t>
  </si>
  <si>
    <t>Metamizole sodium inj. 1g/2ml x 5</t>
  </si>
  <si>
    <t>Metamizole sodium inj. 2,5g/5ml x 5</t>
  </si>
  <si>
    <t>Rocuronium bromide inj. 50mg/5ml x 10 fiol.</t>
  </si>
  <si>
    <t>Rocuronium bromide inj. 100mg/10ml x 10 fiol.</t>
  </si>
  <si>
    <t>Płyn wieloelektorolitowy o składzie zbliżonym do składu osocza: zawierający: Na, Ca, Mg, K oraz Cl &lt;  110mEq/l oraz osmolarnorności 280-295mosm/l, buforowany octanami i cytrynianami; 500ml x 20 szt.</t>
  </si>
  <si>
    <t>Płyn wieloelektorolitowy o składzie zbliżonym do składu osocza: zawierający: Na, Ca, Mg, K oraz Cl &lt;  110mEq/l oraz osmolarnorności 280-295mosm/l, buforowany octanami i cytrynianami; 1000ml x 10 szt.</t>
  </si>
  <si>
    <t>Płyn wieloelektorolitowy o składzie zbliżonym do składu osocza: zawierający: Na, Ca, Mg, K oraz Cl &lt;  110mEq/l oraz osmolarnorności 280-295mosm/l, buforowany octanami i cytrynianami; 250ml x 20 szt.</t>
  </si>
  <si>
    <t>Drospirenonum + Estetrolum, tbl. 3 mg + 14,2 mg x 28 szt.</t>
  </si>
  <si>
    <t>Telmisartan tbl. 40mg x 28 szt.</t>
  </si>
  <si>
    <t>Telmisartan tbl. 80mg x 28 szt.</t>
  </si>
  <si>
    <t>Tetracosactide inj. 0,25 mg x 10 amp.</t>
  </si>
  <si>
    <t>Paracetamol i.v. 500mg x 10 fiol.</t>
  </si>
  <si>
    <t>Paracetamol i.v. 1000mg x 10 fiol.</t>
  </si>
  <si>
    <t>Paracetamol inj. 500mg x 10 butelek</t>
  </si>
  <si>
    <t>Paracetamol inj. 1000mg x 10 butelek</t>
  </si>
  <si>
    <t>Tiapridum tabl. 100mg x 20 szt.</t>
  </si>
  <si>
    <t>BCG vaccine - proszek i rozp. do sporz. zaw. do podawania do pęcherza moczowego + zestaw do podawania w systemie zamkniętym.
Szczep RIVM - min. 2x10^8 żywych prątków BCG
lub 
Szczep Moreau - nie mniej niż 300mln żywych prątków BCG</t>
  </si>
  <si>
    <t>Paracetamolum + Ibuprofenum i.v.  (10mg + 3mg)/ml, fiol. 100ml x 10</t>
  </si>
  <si>
    <t>Buprenorphine rozt. do wstrz. 0,3 mg/ml 5 amp x 1 ml</t>
  </si>
  <si>
    <t>166.</t>
  </si>
  <si>
    <t>167.</t>
  </si>
  <si>
    <t>168.</t>
  </si>
  <si>
    <t>172.</t>
  </si>
  <si>
    <t>Kofeiny Cytrynian roztwór do infuzji 20 mg/ml x 10 amp. po 1 ml</t>
  </si>
  <si>
    <t>Aethanol  96% -   1000 ml</t>
  </si>
  <si>
    <t>Potassium Chloride 0,3% + Sodium Chloride 0,9%  3,0 g/l + 9,0 g/l, roztwór do infuzji  500 ml x 10 szt.</t>
  </si>
  <si>
    <t>Macrogol, proszek do sporządzenia roztworu doustnego, od 6-go miesiąca życia, 5g x 30 saszetek [wyrób medyczny]</t>
  </si>
  <si>
    <t>Macrogol, proszek do sporządzenia roztworu doustnego, bez substancji słodzących, od 6-go miesiąca życia, 5g x 14 saszetek [wyrób medyczny]</t>
  </si>
  <si>
    <t xml:space="preserve">Urapidil  inj. 0.025 g/5ml x 5 </t>
  </si>
  <si>
    <t>DILTIAZEM HYDROCHLORIDE- tabl. powl. o przedłuż. uwaln. 0.12 g x 30</t>
  </si>
  <si>
    <t xml:space="preserve">Albumin human- roztwór do inf. doż. (200 mg/ml) 50 ml </t>
  </si>
  <si>
    <t>UWAGA:</t>
  </si>
  <si>
    <t>Zamawiający wymaga bezpłatnego użyczenia parowników do podaży sevoflurane wraz z gwarancją autoryzowanego serwisu producenta oraz by Wykonawca umowy był właścicielem użyczonych parowników.</t>
  </si>
  <si>
    <t xml:space="preserve"> Actiferol Fe START 7mg x 30 sasz.</t>
  </si>
  <si>
    <t xml:space="preserve">BISACODYL  tabl.doj. 5 mg x 30 </t>
  </si>
  <si>
    <t xml:space="preserve">Gastrolit- proszek do sporz roztw. 14 saszetek </t>
  </si>
  <si>
    <t>Silymarin 70 mg- tabl. drażowane x 30 szt.</t>
  </si>
  <si>
    <t xml:space="preserve">ANTAZOLINE inj.0.1g/2ml x10 </t>
  </si>
  <si>
    <t xml:space="preserve">Calcium Chloratum 67mg/ml  x 10 amp. 10 ml </t>
  </si>
  <si>
    <t>PREP.ZŁOŻ.STREPTODORNASE, STREPTOKINASE  czop.x 6</t>
  </si>
  <si>
    <t>HEPARIN SODIUM   żel 1000 j.m. 30g</t>
  </si>
  <si>
    <t xml:space="preserve">SULFACETAMIDE SODIUM  10%   krop.do oczu  x 12 </t>
  </si>
  <si>
    <t>HEPATITIS B IMMUNOGLOBULIN GAMMA ANTY HBS  inj. 200 j.m./ 1 ml lub 180j.m./1ml x 1</t>
  </si>
  <si>
    <t xml:space="preserve"> 1.</t>
  </si>
  <si>
    <t>3810/98/20/2024</t>
  </si>
  <si>
    <t>3810/98/46/2024</t>
  </si>
  <si>
    <t>3810/98/62/2024</t>
  </si>
  <si>
    <t>3810/98/63/2024</t>
  </si>
  <si>
    <t>Phenoxymethylpenicillin tabl. powl. (1 500 000 j.m.) x 30szt.</t>
  </si>
  <si>
    <t>Amoxicillin/Clavulanic acid  0,6 g  inj x 10 fiol.</t>
  </si>
  <si>
    <t>Amoxicillin/Clavulanic acid  1,2 g  inj.x 10 fiol.</t>
  </si>
  <si>
    <t>Vancomycin- proszek do sporz. roztw. do inf., ze wsk. do stosow. doustnego (1 g) x 10 fiolek</t>
  </si>
  <si>
    <t>Vancomycin- proszek do sporz. roztw. do inf., ze wsk. do stosow. doustnego (500 mg) x 10 fiolek</t>
  </si>
  <si>
    <t xml:space="preserve">LEVOFLOXACIN - roztw. do inf. (5 mg/ml) 100 ml x  5 szt. </t>
  </si>
  <si>
    <t xml:space="preserve"> 3.</t>
  </si>
  <si>
    <t xml:space="preserve">CLARITHROMYCIN  250   tabl.powl. 0,25 g x14 </t>
  </si>
  <si>
    <t>Clindamycin  roztwór do wstrz. 300 mg x 5 amp.</t>
  </si>
  <si>
    <t xml:space="preserve">Clindamycin  roztwór do wstrz. 600 mg x 5 amp. </t>
  </si>
  <si>
    <t>Dexamethasonum + Neomycini sulfas; Aerozol na skórę, zawiesina; 150 mcg + 750 mcg/ml; polemnik 30ml x 1</t>
  </si>
  <si>
    <t>Macrogolum 4000, Proszek do sporządzania roztworu doustnego 10g x 30 saszetek</t>
  </si>
  <si>
    <t>Makrogol 3350 + Natrii sulfas anhydricus + Natrii chloridum + Kalii chloridum + Natrii ascorbas + Acidum ascorbicum; zestaw do jednorazowego użycia; opakowanie x 1 zestaw</t>
  </si>
  <si>
    <t>Lorazepam inj. 4mg  x 5 amp.</t>
  </si>
  <si>
    <t>Lorazepam inj. 2mg  x 5 amp.</t>
  </si>
  <si>
    <t>ENOXAPARIN SODIUM   inj. 20mg x 10 amp. strz.</t>
  </si>
  <si>
    <t>ENOXAPARIN SODIUM   inj. 40mg x 10 amp. strz.</t>
  </si>
  <si>
    <t>ENOXAPARIN SODIUM   inj. 60mg x 10 amp. strz.</t>
  </si>
  <si>
    <t>ENOXAPARIN SODIUM   inj. 80mg x 10 amp. strz.</t>
  </si>
  <si>
    <t>ENOXAPARIN SODIUM   inj. 100mg x 10 amp. strz.</t>
  </si>
  <si>
    <t>ENOXAPARIN SODIUM   inj. 120mg x 10 amp. strz.</t>
  </si>
  <si>
    <t>POTASSIUM CHLORIDE  PROLONGATUM   TABL. 0,75 G = 0,391 G POTASU [x 60 TABL. ]</t>
  </si>
  <si>
    <t xml:space="preserve">CLARITHROMYCIN   gran.do p.zaw.doust   0,25 g/5ml 60 ml </t>
  </si>
  <si>
    <t>Citicolinum roztwór  doustny 1000 mg/10 mlx10szt</t>
  </si>
  <si>
    <t xml:space="preserve">HYDROCORTISONE  100 mg x 1 fiolka </t>
  </si>
  <si>
    <t>Dexamethasonum ,krople do oczu, 1 mg/ml  10ml</t>
  </si>
  <si>
    <t>93.</t>
  </si>
  <si>
    <t>173.</t>
  </si>
  <si>
    <t>Levetiracetamum inj.100 mg/ml x10 fiolek  5ml</t>
  </si>
  <si>
    <t>CLOPIDOGREL- tabl. powl. (75 mg) x 28 szt.</t>
  </si>
  <si>
    <t xml:space="preserve"> 9.</t>
  </si>
  <si>
    <t xml:space="preserve"> 18.</t>
  </si>
  <si>
    <t xml:space="preserve"> 21.</t>
  </si>
  <si>
    <t xml:space="preserve"> 29.</t>
  </si>
  <si>
    <t>63.</t>
  </si>
  <si>
    <t>67.</t>
  </si>
  <si>
    <t>69.</t>
  </si>
  <si>
    <t>74.</t>
  </si>
  <si>
    <t>78.</t>
  </si>
  <si>
    <t>87.</t>
  </si>
  <si>
    <t>169.</t>
  </si>
  <si>
    <t>153.</t>
  </si>
  <si>
    <t>174.</t>
  </si>
  <si>
    <t>170.</t>
  </si>
  <si>
    <t>171.</t>
  </si>
  <si>
    <t xml:space="preserve"> 7.</t>
  </si>
  <si>
    <t xml:space="preserve"> 2.</t>
  </si>
  <si>
    <t xml:space="preserve">Magnesii hydrogenoaspartas + Kalii hydrogenoaspartasabl. 0.5 g x 50 </t>
  </si>
  <si>
    <t xml:space="preserve"> 64.</t>
  </si>
  <si>
    <t xml:space="preserve">Maść pięciornikowa 20 g  </t>
  </si>
  <si>
    <t xml:space="preserve">Acidum ascorbicum + Chlorhexidini dihydrochloridum(50mg+5mg) tabl.do ssania  x 20 </t>
  </si>
  <si>
    <t>BISACODYL  czop. 0.01 g x 10</t>
  </si>
  <si>
    <t xml:space="preserve"> 6.</t>
  </si>
  <si>
    <t xml:space="preserve"> 4.</t>
  </si>
  <si>
    <t xml:space="preserve">ROCURONIUM bromide - roztwór do wstrz. doż. (50 mg/5 ml) 10 fiol. 5 ml </t>
  </si>
  <si>
    <t xml:space="preserve"> 15.</t>
  </si>
  <si>
    <t xml:space="preserve"> 8.</t>
  </si>
  <si>
    <t xml:space="preserve">Morphine sulphate  - tabl. o przedł. uwalnianiu (30 mg)x 60 szt. </t>
  </si>
  <si>
    <t xml:space="preserve">Morphine sulphate- tabl. o przedł. uwalnianiu (10 mg)x 60 szt. </t>
  </si>
  <si>
    <t xml:space="preserve">Morphine sulphate- tabl. o przedł. uwalnianiu (60 mg)x 60 szt. </t>
  </si>
  <si>
    <t xml:space="preserve">Ambroxol hydrochloride- kaps. o przedł. uwalnianiu (75 mg) x10 szt. </t>
  </si>
  <si>
    <t>Magnesium lactate,Pyridoxine- tabl. 60 szt.</t>
  </si>
  <si>
    <t xml:space="preserve"> 25.</t>
  </si>
  <si>
    <t xml:space="preserve"> 39.</t>
  </si>
  <si>
    <t xml:space="preserve"> 41.</t>
  </si>
  <si>
    <t xml:space="preserve"> 53.</t>
  </si>
  <si>
    <t xml:space="preserve"> 54.</t>
  </si>
  <si>
    <t>Wchłanialna gąbka kolagenowa do tamowania krawawienia zawierająca fibrynogen i trombinę,wielkość 9,5 x 4,8 cm  x 1 szt.</t>
  </si>
  <si>
    <t>Wchłanialna gąbka kolagenowa do tamowania krawawienia zawierająca fibrynogen i trombinę,zrolowana,wielkość 4,8 x 4,8 cm x 1 szt.</t>
  </si>
  <si>
    <t>DROTAVERINE HYDROCHL. tbl. 0.04 g x 20</t>
  </si>
  <si>
    <t>175.</t>
  </si>
  <si>
    <t>Wchłanialna gąbka kolagenowa do tamowania krawawienia zawierająca fibrynogen i trombinę,zrolowana,wielkość 3 x 2,5 cm x 1 szt.</t>
  </si>
  <si>
    <t>Wchłanialna gąbka kolagenowa do tamowania krawawienia zawierająca fibrynogen i trombinę,wielkość 4,8 x 4,8 cm  x 2 szt.</t>
  </si>
  <si>
    <t>Uwaga:</t>
  </si>
  <si>
    <t>Produkt leczniczy</t>
  </si>
  <si>
    <t>Matryca hemostatyczna z trombiną, 5 ml, stosowana jako środek wspomagający hemostazę podczas zabiegów chirurgicznych, gdy konwencjonalne metody są nieskuteczne. Produkt przeznaczony jest do jednorazowego użycia, pakowany w zestaw. Dostawa w oryginalnych opakowaniach producenta. Zestaw 5 ml x 1 szt.</t>
  </si>
  <si>
    <t>Carbo medicinalis (activatus) x 250g</t>
  </si>
  <si>
    <t>Hydrocortisonum x 1g</t>
  </si>
  <si>
    <t>Iodum subs.  5 g</t>
  </si>
  <si>
    <t xml:space="preserve">Neomycinum subst. x 25 g </t>
  </si>
  <si>
    <t>Kalii iodidum subs. x 5g</t>
  </si>
  <si>
    <t>Natrii carbohydricum 25g</t>
  </si>
  <si>
    <t>Argenti nitras subs. x 25 g</t>
  </si>
  <si>
    <t>Acidum boricum subst. x 30 g</t>
  </si>
  <si>
    <t>DIGOXIN    tabl. 0.25 mg x 30</t>
  </si>
  <si>
    <t>126.</t>
  </si>
  <si>
    <t>ZIELEŃ INDOCYJANOWA, PROSZEK DO SPORZ. ROZTW. DO WSTRZ.25 MG  (5MG/ML) [x5 FIOL.]</t>
  </si>
  <si>
    <t>Worek trzykomorowy do żywienia pozajelitowego bez elektrolitów do podawania  centralnie,  zawierający aminokwasy,  glukozę i emulsję tłuszczową (80% oleju z oliwek i 20% oleju sojowegoo). Zawartości azotu 9,0 g i energia niebiałkowa 1070 kcal, objętośc 1000 ml x 6 szt.</t>
  </si>
  <si>
    <t>Ciprofloxacinum i.v. 200mg x 10</t>
  </si>
  <si>
    <t>Ciprofloxacinum i.v. 100mg x 10</t>
  </si>
  <si>
    <t>Tenekteplaza 5 000 j. (25 mg) proszek do sporządzania roztworu do wstrzykiwań x 1 fiol.</t>
  </si>
  <si>
    <t xml:space="preserve">Natrium chloratum 0,9% - roztwór do przepłukiwania (9 mg/ml)  5000 ml worek </t>
  </si>
  <si>
    <t>Zadanie nr 38</t>
  </si>
  <si>
    <t>Zadanie nr 39</t>
  </si>
  <si>
    <t>Theophylline- roztwór do inf. 300mg (1,2 mg/ml) butelka 250 ml x 1</t>
  </si>
  <si>
    <t>Zamawiający dopuszcza dostarczanie produktu w opakowaniu zbiorczym, z zachowaniem przeliczenia ilości (ewentualne wartości ułamkowe należy zaokrąglić w górę do pełnych opakowań)</t>
  </si>
  <si>
    <t>Wymóg - surowce recepturowe.</t>
  </si>
  <si>
    <t>Zadanie nr 66</t>
  </si>
  <si>
    <t xml:space="preserve"> Albumin human- roztwór do inf. doż. 5% 250 ml </t>
  </si>
  <si>
    <t xml:space="preserve">fl </t>
  </si>
  <si>
    <t>Worek trzykomorowy do żywienia pozajelitowego  do podawania  centralnie,  zawierający aminokwasy,  glukozę i emulsję tłuszczową (80% oleju z oliwek i 20% oleju sojowego). Zawartości azotu 6,6 g i energia niebiałkowa 1040 kcal, objętośc 1000 ml x 6</t>
  </si>
  <si>
    <t>Worek trzykomorowy do żywienia pozajelitowego  do podawania  centralnie,  zawierający aminokwasy,  glukozę i emulsję tłuszczową (80% oleju z oliwek i 20% oleju sojowego). Zawartości azotu 9,9 g i energia niebiałkowa 1560 kcal, objętośc 1500 ml x 4</t>
  </si>
  <si>
    <t>Worek trzykomorowy do żywienia pozajelitowego  do podawania  centralnie,  zawierający aminokwasy,  glukozę i emulsję tłuszczową (80% oleju z oliwek i 20% oleju sojowego). Zawartości azotu 13,2 g i energia niebiałkowa 2080 kcal, objętośc 2000 ml x 4</t>
  </si>
  <si>
    <t>Worek trzykomorowy do żywienia pozajelitowego  do podawania obwodowo lub centralnie , zawierający aminokwasy,  glukozę i emulsję tłuszczową (80% oleju z oliwek i 20% oleju sojowego). Zawartości azotu 3,6 g i energia niebiałkowa 520 kcal, objętośc 1000 ml x 6</t>
  </si>
  <si>
    <t>Worek trzykomorowy do żywienia pozajelitowego  do podawania obwodowo lub centralnie,  zawierający aminokwasy,  glukozę i emulsję tłuszczową (80% oleju z oliwek i 20% oleju sojowego). Zawartości azotu 5,4 g i energia niebiałkowa 780 kcal, objętośc 1500 ml x 4</t>
  </si>
  <si>
    <t>Worek trzykomorowy do żywienia pozajelitowego  do podawania obwodowo lub centralnie,  zawierający aminokwasy,  glukozę i emulsję tłuszczową (80% oleju z oliwek i 20% oleju sojowego). Zawartości azotu 7,3 g i energia niebiałkowa 1040 kcal, objętośc 2000 ml x 4</t>
  </si>
  <si>
    <t>Formalina 10% buforowana gotowa do użycia roztw. x 1L</t>
  </si>
  <si>
    <t>Formalina 10% buforowana gotowa do użycia roztw. x 5L</t>
  </si>
  <si>
    <t>Formalina 10% buforowana gotowa do użycia roztw. x 10L</t>
  </si>
  <si>
    <t>Mycophenolas mofetil 500mg tbl. x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</si>
</sst>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23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0"/>
      <color theme="0"/>
      <name val="Aptos Display"/>
      <family val="2"/>
      <scheme val="major"/>
    </font>
    <font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ptos Narrow"/>
      <family val="2"/>
      <scheme val="minor"/>
    </font>
    <font>
      <sz val="12"/>
      <color theme="1"/>
      <name val="Aptos"/>
      <family val="2"/>
    </font>
    <font>
      <sz val="10"/>
      <color rgb="FF000000"/>
      <name val="Arial"/>
      <family val="2"/>
      <charset val="238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  <font>
      <sz val="10"/>
      <name val="Aptos Display"/>
      <family val="2"/>
      <scheme val="major"/>
    </font>
    <font>
      <sz val="1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Aptos Display"/>
      <family val="2"/>
      <charset val="238"/>
      <scheme val="major"/>
    </font>
    <font>
      <sz val="10"/>
      <name val="Aptos Narrow"/>
      <family val="2"/>
      <charset val="238"/>
      <scheme val="minor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2" fillId="0" borderId="0" xfId="0" applyFont="1" applyAlignment="1">
      <alignment vertical="center" wrapText="1"/>
    </xf>
    <xf numFmtId="44" fontId="0" fillId="0" borderId="0" xfId="1" applyFont="1"/>
    <xf numFmtId="44" fontId="0" fillId="0" borderId="0" xfId="1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/>
    <xf numFmtId="0" fontId="0" fillId="0" borderId="7" xfId="0" applyBorder="1" applyAlignment="1">
      <alignment horizontal="right"/>
    </xf>
    <xf numFmtId="0" fontId="0" fillId="0" borderId="8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center" wrapText="1"/>
    </xf>
    <xf numFmtId="44" fontId="5" fillId="0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0" applyNumberFormat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44" fontId="0" fillId="0" borderId="8" xfId="0" applyNumberFormat="1" applyBorder="1"/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44" fontId="6" fillId="0" borderId="1" xfId="1" applyFont="1" applyBorder="1"/>
    <xf numFmtId="0" fontId="6" fillId="0" borderId="1" xfId="0" applyFont="1" applyBorder="1"/>
    <xf numFmtId="44" fontId="6" fillId="0" borderId="1" xfId="1" applyFont="1" applyBorder="1" applyAlignment="1">
      <alignment horizontal="center"/>
    </xf>
    <xf numFmtId="0" fontId="6" fillId="0" borderId="2" xfId="0" applyFont="1" applyBorder="1"/>
    <xf numFmtId="3" fontId="6" fillId="0" borderId="1" xfId="0" applyNumberFormat="1" applyFont="1" applyBorder="1" applyAlignment="1">
      <alignment horizontal="center"/>
    </xf>
    <xf numFmtId="0" fontId="6" fillId="0" borderId="8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44" fontId="6" fillId="0" borderId="8" xfId="1" applyFont="1" applyBorder="1"/>
    <xf numFmtId="0" fontId="6" fillId="0" borderId="8" xfId="0" applyFont="1" applyBorder="1"/>
    <xf numFmtId="44" fontId="6" fillId="0" borderId="8" xfId="1" applyFont="1" applyBorder="1" applyAlignment="1">
      <alignment horizontal="center"/>
    </xf>
    <xf numFmtId="0" fontId="6" fillId="0" borderId="9" xfId="0" applyFont="1" applyBorder="1"/>
    <xf numFmtId="0" fontId="3" fillId="0" borderId="0" xfId="0" applyFont="1" applyAlignment="1">
      <alignment horizontal="right" vertical="top"/>
    </xf>
    <xf numFmtId="0" fontId="6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vertical="center"/>
    </xf>
    <xf numFmtId="44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4" fontId="6" fillId="0" borderId="1" xfId="1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 wrapText="1"/>
    </xf>
    <xf numFmtId="44" fontId="0" fillId="0" borderId="1" xfId="0" applyNumberFormat="1" applyBorder="1"/>
    <xf numFmtId="3" fontId="6" fillId="0" borderId="1" xfId="0" applyNumberFormat="1" applyFont="1" applyBorder="1" applyAlignment="1">
      <alignment horizontal="center" vertical="center"/>
    </xf>
    <xf numFmtId="44" fontId="0" fillId="0" borderId="8" xfId="0" applyNumberFormat="1" applyBorder="1" applyAlignment="1">
      <alignment vertical="center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7" fillId="0" borderId="8" xfId="0" applyFont="1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44" fontId="7" fillId="0" borderId="1" xfId="1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3" xfId="0" applyFont="1" applyBorder="1" applyAlignment="1">
      <alignment horizontal="right"/>
    </xf>
    <xf numFmtId="0" fontId="7" fillId="0" borderId="8" xfId="0" applyFont="1" applyBorder="1" applyAlignment="1">
      <alignment wrapText="1"/>
    </xf>
    <xf numFmtId="44" fontId="7" fillId="0" borderId="8" xfId="1" applyFont="1" applyBorder="1"/>
    <xf numFmtId="0" fontId="6" fillId="0" borderId="3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44" fontId="5" fillId="0" borderId="13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/>
    </xf>
    <xf numFmtId="44" fontId="0" fillId="0" borderId="13" xfId="0" applyNumberFormat="1" applyBorder="1"/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right" vertical="center"/>
    </xf>
    <xf numFmtId="4" fontId="10" fillId="0" borderId="11" xfId="0" applyNumberFormat="1" applyFont="1" applyBorder="1" applyAlignment="1">
      <alignment horizontal="right" vertical="center"/>
    </xf>
    <xf numFmtId="4" fontId="6" fillId="0" borderId="3" xfId="0" applyNumberFormat="1" applyFont="1" applyBorder="1"/>
    <xf numFmtId="0" fontId="0" fillId="0" borderId="13" xfId="0" applyBorder="1"/>
    <xf numFmtId="4" fontId="10" fillId="0" borderId="14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44" fontId="6" fillId="0" borderId="3" xfId="1" applyFont="1" applyBorder="1"/>
    <xf numFmtId="4" fontId="7" fillId="0" borderId="1" xfId="0" applyNumberFormat="1" applyFont="1" applyBorder="1"/>
    <xf numFmtId="0" fontId="0" fillId="0" borderId="8" xfId="0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4" fontId="10" fillId="0" borderId="11" xfId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3" fontId="11" fillId="0" borderId="11" xfId="0" applyNumberFormat="1" applyFont="1" applyBorder="1" applyAlignment="1">
      <alignment horizontal="center"/>
    </xf>
    <xf numFmtId="44" fontId="7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9" fontId="6" fillId="0" borderId="1" xfId="2" applyFont="1" applyBorder="1"/>
    <xf numFmtId="44" fontId="6" fillId="0" borderId="1" xfId="0" applyNumberFormat="1" applyFont="1" applyBorder="1"/>
    <xf numFmtId="0" fontId="6" fillId="0" borderId="2" xfId="0" applyFont="1" applyBorder="1" applyAlignment="1">
      <alignment horizontal="center" vertical="center"/>
    </xf>
    <xf numFmtId="44" fontId="6" fillId="0" borderId="3" xfId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44" fontId="7" fillId="0" borderId="3" xfId="1" applyFont="1" applyBorder="1"/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4" fontId="6" fillId="0" borderId="4" xfId="1" applyFont="1" applyBorder="1"/>
    <xf numFmtId="44" fontId="7" fillId="0" borderId="3" xfId="1" applyFont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44" fontId="7" fillId="0" borderId="1" xfId="1" applyFont="1" applyFill="1" applyBorder="1"/>
    <xf numFmtId="44" fontId="6" fillId="0" borderId="1" xfId="1" applyFont="1" applyFill="1" applyBorder="1" applyAlignment="1">
      <alignment horizontal="center"/>
    </xf>
    <xf numFmtId="0" fontId="7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/>
    </xf>
    <xf numFmtId="0" fontId="9" fillId="0" borderId="8" xfId="0" applyFont="1" applyBorder="1" applyAlignment="1">
      <alignment wrapText="1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4" fontId="9" fillId="0" borderId="8" xfId="0" applyNumberFormat="1" applyFont="1" applyBorder="1"/>
    <xf numFmtId="44" fontId="7" fillId="2" borderId="11" xfId="1" applyFont="1" applyFill="1" applyBorder="1" applyAlignment="1">
      <alignment horizontal="right" vertical="center"/>
    </xf>
    <xf numFmtId="44" fontId="7" fillId="0" borderId="11" xfId="1" applyFont="1" applyBorder="1" applyAlignment="1">
      <alignment horizontal="right" vertical="center"/>
    </xf>
    <xf numFmtId="44" fontId="6" fillId="0" borderId="3" xfId="1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44" fontId="6" fillId="2" borderId="1" xfId="1" applyFont="1" applyFill="1" applyBorder="1"/>
    <xf numFmtId="0" fontId="6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44" fontId="7" fillId="0" borderId="15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0" fillId="0" borderId="0" xfId="1" applyFont="1" applyAlignment="1">
      <alignment vertical="center"/>
    </xf>
    <xf numFmtId="44" fontId="7" fillId="0" borderId="8" xfId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44" fontId="6" fillId="0" borderId="0" xfId="1" applyFont="1" applyBorder="1"/>
    <xf numFmtId="0" fontId="6" fillId="0" borderId="0" xfId="0" applyFont="1"/>
    <xf numFmtId="44" fontId="6" fillId="0" borderId="0" xfId="1" applyFont="1" applyBorder="1" applyAlignment="1">
      <alignment horizontal="center"/>
    </xf>
    <xf numFmtId="4" fontId="6" fillId="0" borderId="0" xfId="0" applyNumberFormat="1" applyFont="1"/>
    <xf numFmtId="0" fontId="7" fillId="0" borderId="0" xfId="0" applyFont="1" applyAlignment="1">
      <alignment horizontal="left" wrapText="1"/>
    </xf>
    <xf numFmtId="44" fontId="7" fillId="0" borderId="0" xfId="1" applyFont="1" applyBorder="1"/>
    <xf numFmtId="44" fontId="7" fillId="0" borderId="0" xfId="1" applyFont="1" applyFill="1" applyBorder="1"/>
    <xf numFmtId="44" fontId="7" fillId="0" borderId="0" xfId="1" applyFont="1" applyFill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44" fontId="7" fillId="0" borderId="0" xfId="1" applyFont="1" applyFill="1" applyBorder="1" applyAlignment="1">
      <alignment vertical="center"/>
    </xf>
    <xf numFmtId="44" fontId="7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6" fillId="0" borderId="0" xfId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44" fontId="7" fillId="0" borderId="0" xfId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44" fontId="12" fillId="0" borderId="0" xfId="1" applyFont="1" applyBorder="1" applyAlignment="1">
      <alignment vertical="center"/>
    </xf>
    <xf numFmtId="0" fontId="6" fillId="0" borderId="0" xfId="0" applyFont="1" applyAlignment="1">
      <alignment wrapText="1"/>
    </xf>
    <xf numFmtId="4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4" fontId="7" fillId="0" borderId="0" xfId="1" applyFont="1" applyBorder="1" applyAlignment="1">
      <alignment horizontal="center"/>
    </xf>
    <xf numFmtId="8" fontId="7" fillId="0" borderId="0" xfId="0" applyNumberFormat="1" applyFont="1" applyAlignment="1" applyProtection="1">
      <alignment horizontal="left" vertical="top" wrapText="1"/>
      <protection locked="0"/>
    </xf>
    <xf numFmtId="8" fontId="7" fillId="0" borderId="0" xfId="0" applyNumberFormat="1" applyFont="1" applyAlignment="1" applyProtection="1">
      <alignment horizontal="left" wrapText="1"/>
      <protection locked="0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right" vertical="top"/>
    </xf>
    <xf numFmtId="0" fontId="13" fillId="0" borderId="1" xfId="0" applyFont="1" applyBorder="1" applyAlignment="1">
      <alignment wrapText="1"/>
    </xf>
    <xf numFmtId="0" fontId="10" fillId="0" borderId="14" xfId="0" applyFont="1" applyBorder="1" applyAlignment="1">
      <alignment horizontal="center" vertical="center"/>
    </xf>
    <xf numFmtId="0" fontId="0" fillId="3" borderId="12" xfId="0" applyFill="1" applyBorder="1" applyAlignment="1">
      <alignment horizontal="right"/>
    </xf>
    <xf numFmtId="9" fontId="3" fillId="0" borderId="0" xfId="0" applyNumberFormat="1" applyFont="1" applyAlignment="1">
      <alignment wrapText="1"/>
    </xf>
    <xf numFmtId="0" fontId="6" fillId="3" borderId="3" xfId="0" applyFont="1" applyFill="1" applyBorder="1" applyAlignment="1">
      <alignment horizontal="right" vertical="center"/>
    </xf>
    <xf numFmtId="0" fontId="6" fillId="0" borderId="5" xfId="0" applyFont="1" applyBorder="1" applyAlignment="1">
      <alignment wrapText="1"/>
    </xf>
    <xf numFmtId="44" fontId="6" fillId="0" borderId="5" xfId="1" applyFont="1" applyBorder="1"/>
    <xf numFmtId="0" fontId="6" fillId="2" borderId="1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9" fontId="0" fillId="0" borderId="0" xfId="0" applyNumberFormat="1" applyAlignment="1">
      <alignment wrapText="1"/>
    </xf>
    <xf numFmtId="10" fontId="3" fillId="0" borderId="0" xfId="0" applyNumberFormat="1" applyFont="1" applyAlignment="1">
      <alignment wrapText="1"/>
    </xf>
    <xf numFmtId="44" fontId="7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center"/>
    </xf>
    <xf numFmtId="44" fontId="15" fillId="0" borderId="1" xfId="1" applyFont="1" applyBorder="1"/>
    <xf numFmtId="0" fontId="6" fillId="0" borderId="7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0" fontId="0" fillId="0" borderId="0" xfId="0" applyNumberFormat="1" applyAlignment="1">
      <alignment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wrapText="1"/>
    </xf>
    <xf numFmtId="0" fontId="7" fillId="0" borderId="0" xfId="0" applyFont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 vertical="center" wrapText="1"/>
    </xf>
    <xf numFmtId="9" fontId="8" fillId="0" borderId="0" xfId="0" applyNumberFormat="1" applyFont="1" applyAlignment="1">
      <alignment wrapText="1"/>
    </xf>
    <xf numFmtId="10" fontId="8" fillId="0" borderId="0" xfId="0" applyNumberFormat="1" applyFont="1" applyAlignment="1">
      <alignment wrapText="1"/>
    </xf>
    <xf numFmtId="0" fontId="7" fillId="0" borderId="7" xfId="0" applyFont="1" applyBorder="1" applyAlignment="1">
      <alignment horizontal="right"/>
    </xf>
    <xf numFmtId="0" fontId="10" fillId="0" borderId="17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0" fontId="19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44" fontId="21" fillId="0" borderId="1" xfId="1" applyFont="1" applyFill="1" applyBorder="1" applyAlignment="1">
      <alignment horizontal="center"/>
    </xf>
    <xf numFmtId="0" fontId="22" fillId="0" borderId="0" xfId="0" applyFont="1" applyAlignment="1">
      <alignment vertical="center" wrapText="1"/>
    </xf>
    <xf numFmtId="0" fontId="18" fillId="0" borderId="0" xfId="0" applyFont="1"/>
    <xf numFmtId="4" fontId="19" fillId="0" borderId="11" xfId="0" applyNumberFormat="1" applyFont="1" applyBorder="1" applyAlignment="1">
      <alignment horizontal="right" vertical="center"/>
    </xf>
    <xf numFmtId="0" fontId="21" fillId="0" borderId="3" xfId="0" applyFont="1" applyBorder="1"/>
    <xf numFmtId="44" fontId="21" fillId="0" borderId="1" xfId="1" applyFont="1" applyBorder="1" applyAlignment="1">
      <alignment horizontal="center"/>
    </xf>
    <xf numFmtId="0" fontId="21" fillId="0" borderId="1" xfId="0" applyFont="1" applyBorder="1"/>
    <xf numFmtId="0" fontId="21" fillId="0" borderId="2" xfId="0" applyFont="1" applyBorder="1"/>
    <xf numFmtId="0" fontId="18" fillId="0" borderId="12" xfId="0" applyFont="1" applyBorder="1" applyAlignment="1">
      <alignment horizontal="right"/>
    </xf>
    <xf numFmtId="0" fontId="18" fillId="0" borderId="13" xfId="0" applyFont="1" applyBorder="1" applyAlignment="1">
      <alignment wrapText="1"/>
    </xf>
    <xf numFmtId="0" fontId="18" fillId="0" borderId="13" xfId="0" applyFont="1" applyBorder="1" applyAlignment="1">
      <alignment horizontal="center"/>
    </xf>
    <xf numFmtId="0" fontId="18" fillId="0" borderId="13" xfId="0" applyFont="1" applyBorder="1"/>
    <xf numFmtId="44" fontId="18" fillId="0" borderId="13" xfId="0" applyNumberFormat="1" applyFont="1" applyBorder="1"/>
    <xf numFmtId="0" fontId="18" fillId="0" borderId="8" xfId="0" applyFont="1" applyBorder="1"/>
    <xf numFmtId="0" fontId="18" fillId="0" borderId="8" xfId="0" applyFont="1" applyBorder="1" applyAlignment="1">
      <alignment horizontal="center"/>
    </xf>
    <xf numFmtId="0" fontId="18" fillId="0" borderId="9" xfId="0" applyFont="1" applyBorder="1"/>
    <xf numFmtId="0" fontId="20" fillId="0" borderId="11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44" fontId="20" fillId="0" borderId="1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2" fontId="0" fillId="0" borderId="0" xfId="1" applyNumberFormat="1" applyFont="1"/>
    <xf numFmtId="2" fontId="0" fillId="0" borderId="0" xfId="0" applyNumberFormat="1"/>
    <xf numFmtId="2" fontId="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1" fontId="0" fillId="0" borderId="0" xfId="0" applyNumberFormat="1"/>
    <xf numFmtId="0" fontId="19" fillId="0" borderId="11" xfId="0" applyFont="1" applyBorder="1" applyAlignment="1">
      <alignment horizontal="center"/>
    </xf>
    <xf numFmtId="44" fontId="6" fillId="0" borderId="3" xfId="1" applyFont="1" applyFill="1" applyBorder="1"/>
    <xf numFmtId="44" fontId="6" fillId="0" borderId="1" xfId="1" applyFont="1" applyFill="1" applyBorder="1"/>
    <xf numFmtId="44" fontId="19" fillId="0" borderId="11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</cellXfs>
  <cellStyles count="3">
    <cellStyle name="Normalny" xfId="0" builtinId="0"/>
    <cellStyle name="Procentowy" xfId="2" builtinId="5"/>
    <cellStyle name="Walutowy" xfId="1" builtinId="4"/>
  </cellStyles>
  <dxfs count="1996"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</font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</font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color auto="1"/>
        <charset val="238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color auto="1"/>
        <charset val="238"/>
      </font>
      <fill>
        <patternFill patternType="none">
          <fgColor indexed="64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color auto="1"/>
        <charset val="238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color auto="1"/>
        <charset val="238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color auto="1"/>
        <charset val="238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color auto="1"/>
        <charset val="238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  <alignment horizontal="left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numFmt numFmtId="34" formatCode="_-* #,##0.00\ &quot;zł&quot;_-;\-* #,##0.00\ &quot;zł&quot;_-;_-* &quot;-&quot;??\ &quot;zł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textRotation="0" indent="0" justifyLastLine="0" shrinkToFit="0" readingOrder="0"/>
    </dxf>
    <dxf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1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</dxf>
    <dxf>
      <numFmt numFmtId="34" formatCode="_-* #,##0.00\ &quot;zł&quot;_-;\-* #,##0.00\ &quot;zł&quot;_-;_-* &quot;-&quot;??\ &quot;zł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bgColor auto="1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bgColor auto="1"/>
        </patternFill>
      </fill>
    </dxf>
    <dxf>
      <numFmt numFmtId="34" formatCode="_-* #,##0.00\ &quot;zł&quot;_-;\-* #,##0.00\ &quot;zł&quot;_-;_-* &quot;-&quot;??\ &quot;zł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bgColor auto="1"/>
        </patternFill>
      </fill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bgColor auto="1"/>
        </patternFill>
      </fill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1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</dxf>
    <dxf>
      <numFmt numFmtId="34" formatCode="_-* #,##0.00\ &quot;zł&quot;_-;\-* #,##0.00\ &quot;zł&quot;_-;_-* &quot;-&quot;??\ &quot;zł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textRotation="0" indent="0" justifyLastLine="0" shrinkToFit="0" readingOrder="0"/>
    </dxf>
    <dxf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1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0899A0-5238-436C-8610-1D3DDD213376}" name="Tabela1" displayName="Tabela1" ref="A8:L56" totalsRowCount="1" headerRowDxfId="1995" dataDxfId="1993" headerRowBorderDxfId="1994" tableBorderDxfId="1992" totalsRowBorderDxfId="1991">
  <autoFilter ref="A8:L55" xr:uid="{130899A0-5238-436C-8610-1D3DDD213376}"/>
  <tableColumns count="12">
    <tableColumn id="1" xr3:uid="{2FD7D47E-38F6-4D7B-AD45-00503B2641D0}" name="L.p." totalsRowLabel="Suma" dataDxfId="1990" totalsRowDxfId="1989"/>
    <tableColumn id="2" xr3:uid="{E484A997-B21A-4D71-95C2-1B60C14D43D1}" name="Nazwa, postać, dawka" dataDxfId="1988" totalsRowDxfId="1987"/>
    <tableColumn id="3" xr3:uid="{79F3011F-5C1B-445E-8751-D43B92FA1115}" name="j.m." dataDxfId="1986" totalsRowDxfId="1985"/>
    <tableColumn id="4" xr3:uid="{4C39338C-59AA-42A0-AC04-174D2EECFE40}" name="Ilość" dataDxfId="1984" totalsRowDxfId="1983"/>
    <tableColumn id="5" xr3:uid="{65F80321-7516-4706-9A28-B594011CD5F2}" name="C.j. netto" dataDxfId="1982" totalsRowDxfId="1981" dataCellStyle="Walutowy"/>
    <tableColumn id="6" xr3:uid="{50CF62CA-008B-4320-ABE7-A11876943B63}" name="Wartość netto" totalsRowFunction="sum" dataDxfId="1980" totalsRowDxfId="1979" dataCellStyle="Walutowy">
      <calculatedColumnFormula>Tabela1[[#This Row],[Ilość]]*Tabela1[[#This Row],[C.j. netto]]</calculatedColumnFormula>
    </tableColumn>
    <tableColumn id="7" xr3:uid="{35430453-8C36-49CC-9AC5-F78A50B456B5}" name="Stawka podatku VAT" dataDxfId="1978" totalsRowDxfId="1977"/>
    <tableColumn id="8" xr3:uid="{03FC3297-26E3-4813-B528-0730806A06C4}" name="C.j. brutto" dataDxfId="1976" totalsRowDxfId="1975" dataCellStyle="Walutowy"/>
    <tableColumn id="9" xr3:uid="{F8BDAB5E-09E6-4E84-96AB-5477C3B3A3CF}" name="Wartość brutto" dataDxfId="1974" totalsRowDxfId="1973"/>
    <tableColumn id="10" xr3:uid="{877ED07F-B0EB-4907-832F-5363D1BADAEE}" name="Producent " dataDxfId="1972" totalsRowDxfId="1971"/>
    <tableColumn id="11" xr3:uid="{5F8A297D-208A-42B9-979F-3750DF6B513D}" name="Kod EAN" dataDxfId="1970" totalsRowDxfId="1969"/>
    <tableColumn id="12" xr3:uid="{C4160889-391A-4548-A7C9-56F80552ADF6}" name="Nazwa handlowa, dawka, postać , ilość w opakowaniu" dataDxfId="1968" totalsRowDxfId="196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5CF03F6-E706-4170-AF14-7F57CF96453D}" name="Tabela10" displayName="Tabela10" ref="A8:L27" totalsRowCount="1" headerRowDxfId="1733" dataDxfId="1731" headerRowBorderDxfId="1732" tableBorderDxfId="1730" totalsRowBorderDxfId="1729">
  <autoFilter ref="A8:L26" xr:uid="{130899A0-5238-436C-8610-1D3DDD213376}"/>
  <sortState ref="A9:L19">
    <sortCondition ref="B8:B19"/>
  </sortState>
  <tableColumns count="12">
    <tableColumn id="1" xr3:uid="{D2D731B4-479E-4420-8EC5-DE0DE0F00558}" name="L.p." totalsRowLabel="Suma" dataDxfId="1728" totalsRowDxfId="1727"/>
    <tableColumn id="2" xr3:uid="{6EEF7B6B-7BBC-4F28-89A4-08CA127DEDFF}" name="Nazwa, postać, dawka" dataDxfId="1726" totalsRowDxfId="1725"/>
    <tableColumn id="3" xr3:uid="{9A3B59EE-0079-4A5D-AD0E-721613B8E521}" name="j.m." dataDxfId="1724" totalsRowDxfId="1723"/>
    <tableColumn id="4" xr3:uid="{99C7D60F-4CE4-46C3-A1D5-9DE1082A5268}" name="Ilość" dataDxfId="1722" totalsRowDxfId="1721"/>
    <tableColumn id="5" xr3:uid="{804957FD-B185-4921-96E7-E9F2421B93F5}" name="C.j. netto" dataDxfId="1720" totalsRowDxfId="1719" dataCellStyle="Walutowy"/>
    <tableColumn id="6" xr3:uid="{B9281BAC-807F-44C9-9628-A6E8FC999B60}" name="Wartość netto" totalsRowFunction="sum" dataDxfId="1718" totalsRowDxfId="1717" dataCellStyle="Walutowy">
      <calculatedColumnFormula>Tabela10[[#This Row],[Ilość]]*Tabela10[[#This Row],[C.j. netto]]</calculatedColumnFormula>
    </tableColumn>
    <tableColumn id="7" xr3:uid="{FA1215D9-E461-4BC7-A460-6E4C946DA4EB}" name="Stawka podatku VAT" dataDxfId="1716" totalsRowDxfId="1715"/>
    <tableColumn id="8" xr3:uid="{0BE19A30-5DDC-4568-BDF6-93FCE1E610CD}" name="C.j. brutto" dataDxfId="1714" totalsRowDxfId="1713" dataCellStyle="Walutowy"/>
    <tableColumn id="9" xr3:uid="{A991D491-ABA1-413F-A8F0-F137540BE5EC}" name="Wartość brutto" dataDxfId="1712" totalsRowDxfId="1711"/>
    <tableColumn id="10" xr3:uid="{92A70D3F-8903-4CEF-9467-E6E1853B847A}" name="Producent " dataDxfId="1710" totalsRowDxfId="1709"/>
    <tableColumn id="11" xr3:uid="{23668B8E-9259-4E9F-AA01-9B5955F00765}" name="Kod EAN" dataDxfId="1708" totalsRowDxfId="1707"/>
    <tableColumn id="12" xr3:uid="{224B0288-4767-4EBB-B64A-934FA86E826F}" name="Nazwa handlowa, dawka, postać , ilość w opakowaniu" dataDxfId="1706" totalsRowDxfId="170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F4D925-AB00-4276-A8B5-185B4422CD93}" name="Tabela11" displayName="Tabela11" ref="A8:L36" totalsRowCount="1" headerRowDxfId="1704" dataDxfId="1702" headerRowBorderDxfId="1703" tableBorderDxfId="1701" totalsRowBorderDxfId="1700">
  <autoFilter ref="A8:L35" xr:uid="{130899A0-5238-436C-8610-1D3DDD213376}"/>
  <tableColumns count="12">
    <tableColumn id="1" xr3:uid="{B2586EFE-3D79-43BD-9D88-78EAFAB3E35D}" name="L.p." totalsRowLabel="Suma" dataDxfId="1699" totalsRowDxfId="1698"/>
    <tableColumn id="2" xr3:uid="{6E40CEC4-4AC2-48E3-BC66-52D1CA1B1A8C}" name="Nazwa, postać, dawka" dataDxfId="1697" totalsRowDxfId="1696"/>
    <tableColumn id="3" xr3:uid="{EABF1BF4-93B8-4AA1-B65E-61EE5B51EEA9}" name="j.m." dataDxfId="1695" totalsRowDxfId="1694"/>
    <tableColumn id="4" xr3:uid="{5F28C41D-5ACC-4359-8EEA-BE13B471A8A0}" name="Ilość" dataDxfId="1693" totalsRowDxfId="1692"/>
    <tableColumn id="5" xr3:uid="{82CAB978-20D9-43D0-92E4-9FE09493B7BC}" name="C.j. netto" dataDxfId="1691" totalsRowDxfId="1690" dataCellStyle="Walutowy"/>
    <tableColumn id="6" xr3:uid="{CC0FFBD4-9E6C-4202-B555-12B6BB535C75}" name="Wartość netto" totalsRowFunction="sum" dataDxfId="1689" totalsRowDxfId="1688" dataCellStyle="Walutowy">
      <calculatedColumnFormula>Tabela11[[#This Row],[Ilość]]*Tabela11[[#This Row],[C.j. netto]]</calculatedColumnFormula>
    </tableColumn>
    <tableColumn id="7" xr3:uid="{464C097B-28A9-4A43-BA37-EBD3B9F2F620}" name="Stawka podatku VAT" dataDxfId="1687" totalsRowDxfId="1686"/>
    <tableColumn id="8" xr3:uid="{35130B20-CF8D-49A8-8E37-DB57F5F42DD0}" name="C.j. brutto" dataDxfId="1685" totalsRowDxfId="1684" dataCellStyle="Walutowy"/>
    <tableColumn id="9" xr3:uid="{3D11E1A3-367D-4E89-BFAE-8ED2549683CA}" name="Wartość brutto" dataDxfId="1683" totalsRowDxfId="1682"/>
    <tableColumn id="10" xr3:uid="{D3D56FA6-76CC-4FFF-935B-972A2DCB4A68}" name="Producent " dataDxfId="1681" totalsRowDxfId="1680"/>
    <tableColumn id="11" xr3:uid="{EBC59D5C-771A-4252-B650-876FADDB0E06}" name="Kod EAN" dataDxfId="1679" totalsRowDxfId="1678"/>
    <tableColumn id="12" xr3:uid="{DFA1EE12-239E-4788-A25C-2C127BE7528C}" name="Nazwa handlowa, dawka, postać , ilość w opakowaniu" dataDxfId="1677" totalsRowDxfId="167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4D78F4E-2300-498C-AE8D-88DDEB6120E4}" name="Tabela12" displayName="Tabela12" ref="A8:L10" totalsRowCount="1" headerRowDxfId="1675" dataDxfId="1673" headerRowBorderDxfId="1674" tableBorderDxfId="1672" totalsRowBorderDxfId="1671">
  <autoFilter ref="A8:L9" xr:uid="{130899A0-5238-436C-8610-1D3DDD213376}"/>
  <tableColumns count="12">
    <tableColumn id="1" xr3:uid="{5FE5587D-2161-4498-AD20-C20D1EC2537B}" name="L.p." dataDxfId="1670" totalsRowDxfId="1669"/>
    <tableColumn id="2" xr3:uid="{AFEFA38B-C142-4CC9-8FC0-9BD19CFC6D62}" name="Nazwa, postać, dawka" dataDxfId="1668" totalsRowDxfId="1667"/>
    <tableColumn id="3" xr3:uid="{52A4ED2B-0E9E-437B-B8EA-BF38D576C8B5}" name="j.m." dataDxfId="1666" totalsRowDxfId="1665"/>
    <tableColumn id="4" xr3:uid="{EF680A8A-E8A7-4866-B9AD-436594442439}" name="Ilość" dataDxfId="1664" totalsRowDxfId="1663"/>
    <tableColumn id="5" xr3:uid="{B0144B52-757B-4119-8E0F-F809964C44B0}" name="C.j. netto" dataDxfId="1662" totalsRowDxfId="1661"/>
    <tableColumn id="6" xr3:uid="{297A52CB-60DD-490B-9744-F088C628A2D2}" name="Wartość netto" totalsRowFunction="sum" dataDxfId="1660" totalsRowDxfId="1659">
      <calculatedColumnFormula>Tabela12[[#This Row],[Ilość]]*Tabela12[[#This Row],[C.j. netto]]</calculatedColumnFormula>
    </tableColumn>
    <tableColumn id="7" xr3:uid="{F66269FB-D20B-434B-B0D3-40C67575B606}" name="Stawka podatku VAT" dataDxfId="1658" totalsRowDxfId="1657"/>
    <tableColumn id="8" xr3:uid="{4A13FE21-E739-4060-990A-28429812D40B}" name="C.j. brutto" dataDxfId="1656" totalsRowDxfId="1655" dataCellStyle="Walutowy"/>
    <tableColumn id="9" xr3:uid="{307B62EA-FFFC-4B8D-9E9B-96F32802DBA9}" name="Wartość brutto" dataDxfId="1654" totalsRowDxfId="1653"/>
    <tableColumn id="10" xr3:uid="{E20F0546-2750-421B-92D5-55EE447A7F92}" name="Producent " dataDxfId="1652" totalsRowDxfId="1651"/>
    <tableColumn id="11" xr3:uid="{86FF4862-8BBF-4C47-826B-664225E356DE}" name="Kod EAN" dataDxfId="1650" totalsRowDxfId="1649"/>
    <tableColumn id="12" xr3:uid="{3B92A03B-7DC2-4755-B9F0-1D14CBBBE70C}" name="Nazwa handlowa, dawka, postać , ilość w opakowaniu" dataDxfId="1648" totalsRowDxfId="1647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33AAE918-ADD1-4866-A05B-AD99BAC23FFC}" name="Tabela13" displayName="Tabela13" ref="A8:L10" totalsRowCount="1" headerRowDxfId="1646" dataDxfId="1644" headerRowBorderDxfId="1645" tableBorderDxfId="1643" totalsRowBorderDxfId="1642">
  <autoFilter ref="A8:L9" xr:uid="{130899A0-5238-436C-8610-1D3DDD213376}"/>
  <tableColumns count="12">
    <tableColumn id="1" xr3:uid="{23144784-0859-4714-B4B9-9D7004A56C45}" name="L.p." dataDxfId="1641" totalsRowDxfId="1640"/>
    <tableColumn id="2" xr3:uid="{75AAA40D-F458-40E0-8966-1D4AD35C3BB9}" name="Nazwa, postać, dawka" dataDxfId="1639" totalsRowDxfId="1638"/>
    <tableColumn id="3" xr3:uid="{4ADDAFA3-D5AA-4589-8CF7-D77CE52C6740}" name="j.m." dataDxfId="1637" totalsRowDxfId="1636"/>
    <tableColumn id="4" xr3:uid="{9BC265C3-7998-458D-8AC5-BF61D4FE1614}" name="Ilość" dataDxfId="1635" totalsRowDxfId="1634"/>
    <tableColumn id="5" xr3:uid="{9F484F98-F03E-4A8C-B3F9-A2EC71B3F594}" name="C.j. netto" dataDxfId="1633" totalsRowDxfId="1632"/>
    <tableColumn id="6" xr3:uid="{9B1D8A04-ED6D-4074-B939-B1BD7B78D991}" name="Wartość netto" totalsRowFunction="sum" dataDxfId="1631" totalsRowDxfId="1630">
      <calculatedColumnFormula>Tabela13[[#This Row],[Ilość]]*Tabela13[[#This Row],[C.j. netto]]</calculatedColumnFormula>
    </tableColumn>
    <tableColumn id="7" xr3:uid="{C957AFD7-655D-49E7-89C8-13241312D8BE}" name="Stawka podatku VAT" dataDxfId="1629" totalsRowDxfId="1628"/>
    <tableColumn id="8" xr3:uid="{7FB5452A-2658-403A-A607-844476B0FF62}" name="C.j. brutto" dataDxfId="1627" totalsRowDxfId="1626" dataCellStyle="Walutowy"/>
    <tableColumn id="9" xr3:uid="{2F2E6243-C35B-41A5-98BE-4DEB661C028E}" name="Wartość brutto" dataDxfId="1625" totalsRowDxfId="1624"/>
    <tableColumn id="10" xr3:uid="{5C878203-FE0A-4DE6-9A43-8B3CDBD8A6F4}" name="Producent " dataDxfId="1623" totalsRowDxfId="1622"/>
    <tableColumn id="11" xr3:uid="{F76AE9B2-9CBF-48A5-8A14-2B1FE55D6F90}" name="Kod EAN" dataDxfId="1621" totalsRowDxfId="1620"/>
    <tableColumn id="12" xr3:uid="{1F6A1DEE-4BCE-4FD3-B9EE-A86B6B066287}" name="Nazwa handlowa, dawka, postać , ilość w opakowaniu" dataDxfId="1619" totalsRowDxfId="161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E65AF98-4188-4943-BD9C-BDBD96C568A6}" name="Tabela14" displayName="Tabela14" ref="A8:L15" totalsRowCount="1" headerRowDxfId="1617" dataDxfId="1615" headerRowBorderDxfId="1616" tableBorderDxfId="1614" totalsRowBorderDxfId="1613">
  <autoFilter ref="A8:L14" xr:uid="{130899A0-5238-436C-8610-1D3DDD213376}"/>
  <tableColumns count="12">
    <tableColumn id="1" xr3:uid="{ECD1067E-051A-4A3D-9940-7A29F7637A9B}" name="L.p." totalsRowLabel="Suma" dataDxfId="1612" totalsRowDxfId="1611"/>
    <tableColumn id="2" xr3:uid="{0FCCEE1F-987E-46AE-8202-FDCF98E3AF20}" name="Nazwa, postać, dawka" dataDxfId="1610" totalsRowDxfId="1609"/>
    <tableColumn id="3" xr3:uid="{DDD4A228-7CA6-4A9D-9B95-266F035B34C6}" name="j.m." dataDxfId="1608" totalsRowDxfId="1607"/>
    <tableColumn id="4" xr3:uid="{BE0EC023-FD0B-487B-82A1-4CA88D470BDF}" name="Ilość" dataDxfId="1606" totalsRowDxfId="1605"/>
    <tableColumn id="5" xr3:uid="{11B713E0-82CA-4532-AEA6-3E252787AE47}" name="C.j. netto" dataDxfId="1604" totalsRowDxfId="1603" dataCellStyle="Walutowy"/>
    <tableColumn id="6" xr3:uid="{BA612309-35EE-47AA-839D-7FD4BAFA98F7}" name="Wartość netto" totalsRowFunction="sum" dataDxfId="1602" totalsRowDxfId="1601" dataCellStyle="Walutowy">
      <calculatedColumnFormula>Tabela14[[#This Row],[Ilość]]*Tabela14[[#This Row],[C.j. netto]]</calculatedColumnFormula>
    </tableColumn>
    <tableColumn id="7" xr3:uid="{B4271A61-43FE-4B91-9962-02EC28605978}" name="Stawka podatku VAT" dataDxfId="1600" totalsRowDxfId="1599"/>
    <tableColumn id="8" xr3:uid="{D7FCD5D3-A64C-4D79-9DE2-14AD57E46B32}" name="C.j. brutto" dataDxfId="1598" totalsRowDxfId="1597" dataCellStyle="Walutowy"/>
    <tableColumn id="9" xr3:uid="{E99708C2-39DF-4176-AAD4-D3909DA404B5}" name="Wartość brutto" dataDxfId="1596" totalsRowDxfId="1595"/>
    <tableColumn id="10" xr3:uid="{24BFA8A3-4BD9-41E9-9044-A37DBB3AF4DA}" name="Producent " dataDxfId="1594" totalsRowDxfId="1593"/>
    <tableColumn id="11" xr3:uid="{71BA4F11-C296-444D-8269-2FC7917C6AC7}" name="Kod EAN" dataDxfId="1592" totalsRowDxfId="1591"/>
    <tableColumn id="12" xr3:uid="{819922ED-CA5A-41C5-845B-22E2C5E79979}" name="Nazwa handlowa, dawka, postać , ilość w opakowaniu" dataDxfId="1590" totalsRowDxfId="158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47AB9DD-C369-498A-B902-AB0C5422DCDA}" name="Tabela15" displayName="Tabela15" ref="A8:L10" totalsRowCount="1" headerRowDxfId="1588" dataDxfId="1586" headerRowBorderDxfId="1587" tableBorderDxfId="1585" totalsRowBorderDxfId="1584">
  <autoFilter ref="A8:L9" xr:uid="{130899A0-5238-436C-8610-1D3DDD213376}"/>
  <tableColumns count="12">
    <tableColumn id="1" xr3:uid="{C35EF8CA-2761-45BE-A467-E580C66A47D8}" name="L.p." totalsRowLabel="Suma" dataDxfId="1583" totalsRowDxfId="1582"/>
    <tableColumn id="2" xr3:uid="{5425E32F-D4BD-4D63-B60A-28C49381506C}" name="Nazwa, postać, dawka" dataDxfId="1581" totalsRowDxfId="1580"/>
    <tableColumn id="3" xr3:uid="{775BE05D-8422-4098-9327-62DBB005ABA4}" name="j.m." dataDxfId="1579" totalsRowDxfId="1578"/>
    <tableColumn id="4" xr3:uid="{41D9FB05-EEC3-4413-AFE8-CA4E599A04C0}" name="Ilość" dataDxfId="1577" totalsRowDxfId="1576"/>
    <tableColumn id="5" xr3:uid="{936C17B1-92D6-477B-987F-DCF2D2A4E5B8}" name="C.j. netto" dataDxfId="1575" totalsRowDxfId="1574" dataCellStyle="Walutowy"/>
    <tableColumn id="6" xr3:uid="{D5CFB574-6229-45A7-9D3A-42491714D77A}" name="Wartość netto" totalsRowFunction="sum" dataDxfId="1573" totalsRowDxfId="1572" dataCellStyle="Walutowy">
      <calculatedColumnFormula>Tabela15[[#This Row],[Ilość]]*Tabela15[[#This Row],[C.j. netto]]</calculatedColumnFormula>
    </tableColumn>
    <tableColumn id="7" xr3:uid="{CB270715-0003-45A8-A0A2-45FAA468C5C5}" name="Stawka podatku VAT" dataDxfId="1571" totalsRowDxfId="1570"/>
    <tableColumn id="8" xr3:uid="{2BC2DC75-33A9-4259-872A-ED00BDFCC6EB}" name="C.j. brutto" dataDxfId="1569" totalsRowDxfId="1568" dataCellStyle="Walutowy"/>
    <tableColumn id="9" xr3:uid="{B4718F6A-42F1-41F0-8CB0-22C8E7F62118}" name="Wartość brutto" dataDxfId="1567" totalsRowDxfId="1566"/>
    <tableColumn id="10" xr3:uid="{8071AF90-91D5-4C56-9503-EFC59A613ADD}" name="Producent " dataDxfId="1565" totalsRowDxfId="1564"/>
    <tableColumn id="11" xr3:uid="{D9694334-E99F-4344-8459-1F57D68BA6CB}" name="Kod EAN" dataDxfId="1563" totalsRowDxfId="1562"/>
    <tableColumn id="12" xr3:uid="{1BAEE4A1-608F-45A3-8C53-8BD3BDAAB1A3}" name="Nazwa handlowa, dawka, postać , ilość w opakowaniu" dataDxfId="1561" totalsRowDxfId="156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A34ACBD-EFE9-4378-BF20-C0604397D062}" name="Tabela16" displayName="Tabela16" ref="A8:L22" totalsRowCount="1" headerRowDxfId="1559" dataDxfId="1557" headerRowBorderDxfId="1558" tableBorderDxfId="1556" totalsRowBorderDxfId="1555">
  <autoFilter ref="A8:L21" xr:uid="{130899A0-5238-436C-8610-1D3DDD213376}"/>
  <sortState ref="A9:L17">
    <sortCondition ref="B8:B17"/>
  </sortState>
  <tableColumns count="12">
    <tableColumn id="1" xr3:uid="{D2291680-A59A-4E21-8615-8A5E834AEDBA}" name="L.p." totalsRowLabel="Suma" dataDxfId="1554" totalsRowDxfId="1553"/>
    <tableColumn id="2" xr3:uid="{B9288158-DD06-4D20-A579-3FAE0FCD78BE}" name="Nazwa, postać, dawka" dataDxfId="1552" totalsRowDxfId="1551"/>
    <tableColumn id="3" xr3:uid="{59FECDEF-CC32-4DC5-A408-E9EAD874D797}" name="j.m." dataDxfId="1550" totalsRowDxfId="1549"/>
    <tableColumn id="4" xr3:uid="{77C814BF-744E-4942-A020-E12CE626463B}" name="Ilość" dataDxfId="1548" totalsRowDxfId="1547"/>
    <tableColumn id="5" xr3:uid="{3DB099CA-721A-462F-B3BF-1BBFE88DC696}" name="C.j. netto" dataDxfId="1546" totalsRowDxfId="1545" dataCellStyle="Walutowy"/>
    <tableColumn id="6" xr3:uid="{E5D39BB4-6309-4FA1-9CF2-B748E615C79E}" name="Wartość netto" totalsRowFunction="sum" dataDxfId="1544" totalsRowDxfId="1543" dataCellStyle="Walutowy">
      <calculatedColumnFormula>Tabela16[[#This Row],[Ilość]]*Tabela16[[#This Row],[C.j. netto]]</calculatedColumnFormula>
    </tableColumn>
    <tableColumn id="7" xr3:uid="{5B06FB9B-3135-44C7-866E-A12CA820BF40}" name="Stawka podatku VAT" dataDxfId="1542" totalsRowDxfId="1541"/>
    <tableColumn id="8" xr3:uid="{1912761E-3E31-48BD-9E60-01C1B2E542A3}" name="C.j. brutto" dataDxfId="1540" totalsRowDxfId="1539" dataCellStyle="Walutowy"/>
    <tableColumn id="9" xr3:uid="{50ED07F2-5FD0-4811-9D07-EA981514BF3C}" name="Wartość brutto" dataDxfId="1538" totalsRowDxfId="1537"/>
    <tableColumn id="10" xr3:uid="{78620BCA-3492-4F1A-8D3C-7125E35A3742}" name="Producent " dataDxfId="1536" totalsRowDxfId="1535"/>
    <tableColumn id="11" xr3:uid="{B60BE968-B446-4EB2-8FEF-77D211E7A51B}" name="Kod EAN" dataDxfId="1534" totalsRowDxfId="1533"/>
    <tableColumn id="12" xr3:uid="{939FD36E-5A0F-42B5-8D91-014036E986C6}" name="Nazwa handlowa, dawka, postać , ilość w opakowaniu" dataDxfId="1532" totalsRowDxfId="153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04BB24-CDA0-4566-B07B-1D25C05F1D2E}" name="Tabela17" displayName="Tabela17" ref="A8:L31" totalsRowCount="1" headerRowDxfId="1530" dataDxfId="1528" headerRowBorderDxfId="1529" tableBorderDxfId="1527" totalsRowBorderDxfId="1526">
  <autoFilter ref="A8:L30" xr:uid="{130899A0-5238-436C-8610-1D3DDD213376}"/>
  <tableColumns count="12">
    <tableColumn id="1" xr3:uid="{FB0FCE97-E620-49F7-9AB5-D8046188FAE5}" name="L.p." totalsRowLabel="Suma" dataDxfId="1525" totalsRowDxfId="1524"/>
    <tableColumn id="2" xr3:uid="{245D4B9D-E854-4332-9293-13C2C7C542C0}" name="Nazwa, postać, dawka" dataDxfId="1523" totalsRowDxfId="1522"/>
    <tableColumn id="3" xr3:uid="{7A0E11B0-0715-48A0-9E64-DBF0BCBD86F1}" name="j.m." dataDxfId="1521" totalsRowDxfId="1520"/>
    <tableColumn id="4" xr3:uid="{2E1383AE-83AE-4CD4-93EE-9CC9329BFEBF}" name="Ilość" dataDxfId="1519" totalsRowDxfId="1518"/>
    <tableColumn id="5" xr3:uid="{9E00786E-10A4-410D-BFEC-BC3F2966CB2D}" name="C.j. netto" dataDxfId="1517" totalsRowDxfId="1516" dataCellStyle="Walutowy"/>
    <tableColumn id="6" xr3:uid="{7928C5C8-E12B-4891-9EC6-A12BC7065DAE}" name="Wartość netto" totalsRowFunction="sum" dataDxfId="1515" totalsRowDxfId="1514" dataCellStyle="Walutowy">
      <calculatedColumnFormula>Tabela17[[#This Row],[Ilość]]*Tabela17[[#This Row],[C.j. netto]]</calculatedColumnFormula>
    </tableColumn>
    <tableColumn id="7" xr3:uid="{B31A49E8-ED2C-476F-B048-4CE8B1D8E2C1}" name="Stawka podatku VAT" dataDxfId="1513" totalsRowDxfId="1512"/>
    <tableColumn id="8" xr3:uid="{85F2DEB0-CEA1-4D84-A2FA-CBBAB78B4FAA}" name="C.j. brutto" dataDxfId="1511" totalsRowDxfId="1510" dataCellStyle="Walutowy"/>
    <tableColumn id="9" xr3:uid="{452E03E0-174C-4850-A5A4-82EFBC419C5A}" name="Wartość brutto" dataDxfId="1509" totalsRowDxfId="1508"/>
    <tableColumn id="10" xr3:uid="{CF3D3E18-1D3F-42BF-9D51-5900DD32113B}" name="Producent " dataDxfId="1507" totalsRowDxfId="1506"/>
    <tableColumn id="11" xr3:uid="{25DE94AD-E834-4D16-9374-0A480DE3C476}" name="Kod EAN" dataDxfId="1505" totalsRowDxfId="1504"/>
    <tableColumn id="12" xr3:uid="{13027464-D3D3-4D05-A7B2-D533885DAD73}" name="Nazwa handlowa, dawka, postać , ilość w opakowaniu" dataDxfId="1503" totalsRowDxfId="1502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F414EDEB-46E8-4FA4-A830-DF94E83AF4DD}" name="Tabela18" displayName="Tabela18" ref="A8:L10" totalsRowCount="1" headerRowDxfId="1501" dataDxfId="1499" headerRowBorderDxfId="1500" tableBorderDxfId="1498" totalsRowBorderDxfId="1497">
  <autoFilter ref="A8:L9" xr:uid="{130899A0-5238-436C-8610-1D3DDD213376}"/>
  <tableColumns count="12">
    <tableColumn id="1" xr3:uid="{10C4E22D-04D3-4280-B891-B00E20106BCF}" name="L.p." totalsRowLabel="Suma" dataDxfId="1496" totalsRowDxfId="1495"/>
    <tableColumn id="2" xr3:uid="{5D988070-D6AA-4912-A512-552A67C843D1}" name="Nazwa, postać, dawka" dataDxfId="1494" totalsRowDxfId="1493"/>
    <tableColumn id="3" xr3:uid="{E16C9AE0-9D1F-44AB-BE76-2D5B23BAC81D}" name="j.m." dataDxfId="1492" totalsRowDxfId="1491"/>
    <tableColumn id="4" xr3:uid="{A4CE0992-1011-441B-8196-CFC379ABE1FD}" name="Ilość" dataDxfId="1490" totalsRowDxfId="1489"/>
    <tableColumn id="5" xr3:uid="{946E8482-FBA4-4C85-9C4A-1159FA6D0E2A}" name="C.j. netto" dataDxfId="1488" totalsRowDxfId="1487" dataCellStyle="Walutowy"/>
    <tableColumn id="6" xr3:uid="{6AFAAF65-2D81-4BAB-8F57-47F29F8039DC}" name="Wartość netto" totalsRowFunction="sum" dataDxfId="1486" totalsRowDxfId="1485" dataCellStyle="Walutowy">
      <calculatedColumnFormula>Tabela18[[#This Row],[Ilość]]*Tabela18[[#This Row],[C.j. netto]]</calculatedColumnFormula>
    </tableColumn>
    <tableColumn id="7" xr3:uid="{1F9F1803-7AEE-49BF-9DB3-9D47D71F24F6}" name="Stawka podatku VAT" dataDxfId="1484" totalsRowDxfId="1483"/>
    <tableColumn id="8" xr3:uid="{AA33B79D-68D8-41AD-92EE-CD1DC88B0FAD}" name="C.j. brutto" dataDxfId="1482" totalsRowDxfId="1481" dataCellStyle="Walutowy"/>
    <tableColumn id="9" xr3:uid="{8531DAE9-9AD7-41D8-881E-5E864B56380D}" name="Wartość brutto" dataDxfId="1480" totalsRowDxfId="1479"/>
    <tableColumn id="10" xr3:uid="{7DA2723B-493A-4DE5-9A95-E7DE3BBA5437}" name="Producent " dataDxfId="1478" totalsRowDxfId="1477"/>
    <tableColumn id="11" xr3:uid="{1EA64E8F-F924-42D5-98FD-05A4AE203946}" name="Kod EAN" dataDxfId="1476" totalsRowDxfId="1475"/>
    <tableColumn id="12" xr3:uid="{36C68B51-48AA-4ADE-8D44-3DF0D46A3F10}" name="Nazwa handlowa, dawka, postać , ilość w opakowaniu" dataDxfId="1474" totalsRowDxfId="1473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4A68339-915C-4D4B-BAF7-E6D0C217C576}" name="Tabela19" displayName="Tabela19" ref="A8:L184" totalsRowCount="1" headerRowDxfId="1472" dataDxfId="1470" headerRowBorderDxfId="1471" tableBorderDxfId="1469" totalsRowBorderDxfId="1468">
  <autoFilter ref="A8:L183" xr:uid="{130899A0-5238-436C-8610-1D3DDD213376}"/>
  <tableColumns count="12">
    <tableColumn id="1" xr3:uid="{7DF4A866-EBFC-4D56-81E8-6F9BB81E7019}" name="L.p." totalsRowLabel="Suma" dataDxfId="1467" totalsRowDxfId="1466"/>
    <tableColumn id="2" xr3:uid="{49302352-AF02-4ECE-A13F-3DEB9FE8CB05}" name="Nazwa, postać, dawka" dataDxfId="1465" totalsRowDxfId="1464"/>
    <tableColumn id="3" xr3:uid="{435AF907-16A9-489D-AF7B-C266721A3A56}" name="j.m." dataDxfId="1463" totalsRowDxfId="1462"/>
    <tableColumn id="4" xr3:uid="{EF0974E4-5FDD-4A67-8FE7-C20061EFA1FC}" name="Ilość" dataDxfId="1461" totalsRowDxfId="1460"/>
    <tableColumn id="5" xr3:uid="{1D1B0223-86F1-4F7D-9560-EA3EDD80C07E}" name="C.j. netto" dataDxfId="1459" totalsRowDxfId="1458" dataCellStyle="Walutowy"/>
    <tableColumn id="6" xr3:uid="{7984DDB1-7D9D-4877-A36F-B777E3ED72D1}" name="Wartość netto" totalsRowFunction="sum" dataDxfId="1457" totalsRowDxfId="1456" dataCellStyle="Walutowy">
      <calculatedColumnFormula>Tabela19[[#This Row],[Ilość]]*Tabela19[[#This Row],[C.j. netto]]</calculatedColumnFormula>
    </tableColumn>
    <tableColumn id="7" xr3:uid="{E8DC17B3-632E-4A47-BF76-2F9B6D1D95E8}" name="Stawka podatku VAT" dataDxfId="1455" totalsRowDxfId="1454"/>
    <tableColumn id="8" xr3:uid="{D0613520-16AA-43F2-AA2D-16EE0AE7B022}" name="C.j. brutto" dataDxfId="1453" totalsRowDxfId="1452" dataCellStyle="Walutowy"/>
    <tableColumn id="9" xr3:uid="{76ECB0B1-A7F5-4043-80DF-23D1FCC32EB3}" name="Wartość brutto" dataDxfId="1451" totalsRowDxfId="1450"/>
    <tableColumn id="10" xr3:uid="{34BF5FBE-916F-46CB-B3E0-F7B21B078A10}" name="Producent " dataDxfId="1449" totalsRowDxfId="1448"/>
    <tableColumn id="11" xr3:uid="{1E6C60FD-DB5D-424F-BE57-47BB2C55EC75}" name="Kod EAN" dataDxfId="1447" totalsRowDxfId="1446"/>
    <tableColumn id="12" xr3:uid="{C348785E-1C43-4C46-B663-39318590B67A}" name="Nazwa handlowa, dawka, postać , ilość w opakowaniu" dataDxfId="1445" totalsRowDxfId="144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C92E13-687F-4FB0-B2F2-9F395FFA0DF1}" name="Tabela2" displayName="Tabela2" ref="A8:L12" totalsRowCount="1" headerRowDxfId="1966" dataDxfId="1964" headerRowBorderDxfId="1965" tableBorderDxfId="1963" totalsRowBorderDxfId="1962">
  <autoFilter ref="A8:L11" xr:uid="{130899A0-5238-436C-8610-1D3DDD213376}"/>
  <tableColumns count="12">
    <tableColumn id="1" xr3:uid="{B367E962-9CB0-42A3-AEDF-1E63653510F3}" name="L.p." totalsRowLabel="Suma" dataDxfId="1961" totalsRowDxfId="1960"/>
    <tableColumn id="2" xr3:uid="{671765C7-7D51-40BE-A0FD-7004F12A5D55}" name="Nazwa, postać, dawka" dataDxfId="1959" totalsRowDxfId="1958"/>
    <tableColumn id="3" xr3:uid="{72BCB5BB-1B16-4BF7-B4D5-43E0B9DEAF14}" name="j.m." dataDxfId="1957" totalsRowDxfId="1956"/>
    <tableColumn id="4" xr3:uid="{4A489FF8-8278-48B9-9077-D49CF2A7B666}" name="Ilość" dataDxfId="1955" totalsRowDxfId="1954"/>
    <tableColumn id="5" xr3:uid="{6150009F-BAC5-46FB-9BD7-86C9A462D934}" name="C.j. netto" dataDxfId="1953" totalsRowDxfId="1952" dataCellStyle="Walutowy"/>
    <tableColumn id="6" xr3:uid="{28C1186E-46C9-474E-B79F-C347AE6F4B1B}" name="Wartość netto" totalsRowFunction="sum" dataDxfId="1951" totalsRowDxfId="1950" dataCellStyle="Walutowy">
      <calculatedColumnFormula>Tabela2[[#This Row],[Ilość]]*Tabela2[[#This Row],[C.j. netto]]</calculatedColumnFormula>
    </tableColumn>
    <tableColumn id="7" xr3:uid="{F9A8743D-0B70-4CE7-B549-20230BFAED2A}" name="Stawka podatku VAT" dataDxfId="1949" totalsRowDxfId="1948"/>
    <tableColumn id="8" xr3:uid="{2F6A2B11-727B-407D-A35F-8915FDFAFD8A}" name="C.j. brutto" dataDxfId="1947" totalsRowDxfId="1946" dataCellStyle="Walutowy"/>
    <tableColumn id="9" xr3:uid="{7D48A265-1E54-4B7E-A32E-B24C952017A9}" name="Wartość brutto" dataDxfId="1945" totalsRowDxfId="1944"/>
    <tableColumn id="10" xr3:uid="{74DB65B1-9F19-4E5D-A36B-547F64B3825F}" name="Producent " dataDxfId="1943" totalsRowDxfId="1942"/>
    <tableColumn id="11" xr3:uid="{8FB649FF-2A70-4F06-99A0-07156566E8E0}" name="Kod EAN" dataDxfId="1941" totalsRowDxfId="1940"/>
    <tableColumn id="12" xr3:uid="{C33DDBAA-FA59-4430-8511-7EFE3A1EED3D}" name="Nazwa handlowa, dawka, postać , ilość w opakowaniu" dataDxfId="1939" totalsRowDxfId="1938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0165206-F9BB-45D2-AA76-16C30B2762B7}" name="Tabela20" displayName="Tabela20" ref="A8:L36" totalsRowCount="1" headerRowDxfId="1443" dataDxfId="1441" headerRowBorderDxfId="1442" tableBorderDxfId="1440" totalsRowBorderDxfId="1439">
  <autoFilter ref="A8:L35" xr:uid="{130899A0-5238-436C-8610-1D3DDD213376}"/>
  <tableColumns count="12">
    <tableColumn id="1" xr3:uid="{E306D894-27B9-4DF0-B59F-811DB1ECD241}" name="L.p." totalsRowLabel="Suma" dataDxfId="1438" totalsRowDxfId="1437"/>
    <tableColumn id="2" xr3:uid="{5F7EC0BE-61E1-406A-8D5D-5B5C24529732}" name="Nazwa, postać, dawka" dataDxfId="1436" totalsRowDxfId="1435"/>
    <tableColumn id="3" xr3:uid="{4AFA33A2-E265-4FAA-BDDC-6F6D87A4371A}" name="j.m." dataDxfId="1434" totalsRowDxfId="1433"/>
    <tableColumn id="4" xr3:uid="{FEACE8C7-F6E9-4F3D-A726-71E70F28625D}" name="Ilość" dataDxfId="1432" totalsRowDxfId="1431"/>
    <tableColumn id="5" xr3:uid="{27C8C6B4-C186-434A-9CB9-E5C1CD6AFE70}" name="C.j. netto" dataDxfId="1430" totalsRowDxfId="1429" dataCellStyle="Walutowy"/>
    <tableColumn id="6" xr3:uid="{7402491A-9CD8-4DC9-830A-DE05924AEEB4}" name="Wartość netto" totalsRowFunction="sum" dataDxfId="1428" totalsRowDxfId="1427" dataCellStyle="Walutowy">
      <calculatedColumnFormula>Tabela20[[#This Row],[Ilość]]*Tabela20[[#This Row],[C.j. netto]]</calculatedColumnFormula>
    </tableColumn>
    <tableColumn id="7" xr3:uid="{2B417EE1-C7DC-4388-B853-682E7BFFF1E3}" name="Stawka podatku VAT" dataDxfId="1426" totalsRowDxfId="1425"/>
    <tableColumn id="8" xr3:uid="{99D567C3-8E31-42B3-BFB7-6E222C46AE4E}" name="C.j. brutto" dataDxfId="1424" totalsRowDxfId="1423" dataCellStyle="Walutowy"/>
    <tableColumn id="9" xr3:uid="{471E5EC9-9A56-4702-B409-5D77C6933B38}" name="Wartość brutto" dataDxfId="1422" totalsRowDxfId="1421"/>
    <tableColumn id="10" xr3:uid="{6E5E723C-3678-4F41-86F7-7A8CBB3AD5D5}" name="Producent " dataDxfId="1420" totalsRowDxfId="1419"/>
    <tableColumn id="11" xr3:uid="{4C099D67-ACE9-41DF-9395-D6A8F5DA1845}" name="Kod EAN" dataDxfId="1418" totalsRowDxfId="1417"/>
    <tableColumn id="12" xr3:uid="{42D0C109-53A9-459A-8367-C18E458F1143}" name="Nazwa handlowa, dawka, postać , ilość w opakowaniu" dataDxfId="1416" totalsRowDxfId="1415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F954EB-56B7-442A-BFBB-4436040BEF0A}" name="Tabela21" displayName="Tabela21" ref="A8:L11" totalsRowCount="1" headerRowDxfId="1414" dataDxfId="1412" headerRowBorderDxfId="1413" tableBorderDxfId="1411" totalsRowBorderDxfId="1410">
  <autoFilter ref="A8:L10" xr:uid="{130899A0-5238-436C-8610-1D3DDD213376}"/>
  <sortState ref="A9:L10">
    <sortCondition ref="B8:B10"/>
  </sortState>
  <tableColumns count="12">
    <tableColumn id="1" xr3:uid="{29A4A498-ACEE-42DF-B6CC-062B81F476D5}" name="L.p." totalsRowLabel="Suma" dataDxfId="1409" totalsRowDxfId="1408"/>
    <tableColumn id="2" xr3:uid="{EDA7233F-D628-4244-99B9-F4EAF298C7D6}" name="Nazwa, postać, dawka" dataDxfId="1407" totalsRowDxfId="1406"/>
    <tableColumn id="3" xr3:uid="{B17C76C8-12F8-46EF-B5DD-1F2CC765E5E5}" name="j.m." dataDxfId="1405" totalsRowDxfId="1404"/>
    <tableColumn id="4" xr3:uid="{9D274337-67F4-4747-B364-803E6BB77DAC}" name="Ilość" dataDxfId="1403" totalsRowDxfId="1402"/>
    <tableColumn id="5" xr3:uid="{A0B1EE37-DC2E-4C1D-8827-A0EAA5C4350B}" name="C.j. netto" dataDxfId="1401" totalsRowDxfId="1400" dataCellStyle="Walutowy"/>
    <tableColumn id="6" xr3:uid="{45317C88-A941-45A7-82D9-592E7993DC85}" name="Wartość netto" totalsRowFunction="sum" dataDxfId="1399" totalsRowDxfId="1398" dataCellStyle="Walutowy">
      <calculatedColumnFormula>Tabela21[[#This Row],[Ilość]]*Tabela21[[#This Row],[C.j. netto]]</calculatedColumnFormula>
    </tableColumn>
    <tableColumn id="7" xr3:uid="{E2398CD3-290B-41B5-93A6-D7F111E29FA9}" name="Stawka podatku VAT" dataDxfId="1397" totalsRowDxfId="1396"/>
    <tableColumn id="8" xr3:uid="{BC9DFDAD-E62A-40A1-846B-A4112DF07D7E}" name="C.j. brutto" dataDxfId="1395" totalsRowDxfId="1394" dataCellStyle="Walutowy"/>
    <tableColumn id="9" xr3:uid="{C6E5A63F-D327-407D-81A5-67544D926A7B}" name="Wartość brutto" dataDxfId="1393" totalsRowDxfId="1392"/>
    <tableColumn id="10" xr3:uid="{07FF2F29-2EA2-49D1-BE82-A5008D59F08B}" name="Producent " dataDxfId="1391" totalsRowDxfId="1390"/>
    <tableColumn id="11" xr3:uid="{E2D75832-DE22-480A-8FD4-A0E192173DBD}" name="Kod EAN" dataDxfId="1389" totalsRowDxfId="1388"/>
    <tableColumn id="12" xr3:uid="{30A14D0B-B6C5-4C52-8FF8-8A6DFDD2C0B6}" name="Nazwa handlowa, dawka, postać , ilość w opakowaniu" dataDxfId="1387" totalsRowDxfId="1386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055A9EE-72C0-4B0F-883B-8539F6C7477F}" name="Tabela22" displayName="Tabela22" ref="A8:L67" totalsRowCount="1" headerRowDxfId="1385" dataDxfId="1383" headerRowBorderDxfId="1384" tableBorderDxfId="1382" totalsRowBorderDxfId="1381">
  <autoFilter ref="A8:L66" xr:uid="{130899A0-5238-436C-8610-1D3DDD213376}"/>
  <sortState ref="A9:L17">
    <sortCondition ref="B8:B17"/>
  </sortState>
  <tableColumns count="12">
    <tableColumn id="1" xr3:uid="{912145AA-B0BB-45DD-A3AB-0ED18B418EFC}" name="L.p." totalsRowLabel="Suma" dataDxfId="1380" totalsRowDxfId="1379"/>
    <tableColumn id="2" xr3:uid="{4E241C6C-2407-4A34-AC23-E7606A742D62}" name="Nazwa, postać, dawka" dataDxfId="1378" totalsRowDxfId="1377"/>
    <tableColumn id="3" xr3:uid="{54B1A45B-07B4-4B31-A4C0-79A16CCEA41F}" name="j.m." dataDxfId="1376" totalsRowDxfId="1375"/>
    <tableColumn id="4" xr3:uid="{4D80FA03-4688-4345-A879-AFBADBE735BA}" name="Ilość" dataDxfId="1374" totalsRowDxfId="1373"/>
    <tableColumn id="5" xr3:uid="{1F23E75F-3C23-47AD-AF4E-E83C71E21AC2}" name="C.j. netto" dataDxfId="1372" totalsRowDxfId="1371" dataCellStyle="Walutowy"/>
    <tableColumn id="6" xr3:uid="{45B7C46B-5FAF-439C-84A1-2B5E5BEB472E}" name="Wartość netto" totalsRowFunction="sum" dataDxfId="1370" totalsRowDxfId="1369" dataCellStyle="Walutowy">
      <calculatedColumnFormula>Tabela22[[#This Row],[Ilość]]*Tabela22[[#This Row],[C.j. netto]]</calculatedColumnFormula>
    </tableColumn>
    <tableColumn id="7" xr3:uid="{9E16FA1F-7C02-4B7B-8679-C0D8C806515E}" name="Stawka podatku VAT" dataDxfId="1368" totalsRowDxfId="1367"/>
    <tableColumn id="8" xr3:uid="{D18985BD-48E8-4CA2-A644-54AACA9382B9}" name="C.j. brutto" dataDxfId="1366" totalsRowDxfId="1365" dataCellStyle="Walutowy"/>
    <tableColumn id="9" xr3:uid="{90AD7282-EF19-406A-87B5-87204E625100}" name="Wartość brutto" dataDxfId="1364" totalsRowDxfId="1363"/>
    <tableColumn id="10" xr3:uid="{808E24B6-934F-432A-B507-4BDD46E47312}" name="Producent " dataDxfId="1362" totalsRowDxfId="1361"/>
    <tableColumn id="11" xr3:uid="{906B8458-9A31-4121-920C-8FE8FB64931E}" name="Kod EAN" dataDxfId="1360" totalsRowDxfId="1359"/>
    <tableColumn id="12" xr3:uid="{10373513-8D44-479D-8B1D-256963905BD1}" name="Nazwa handlowa, dawka, postać , ilość w opakowaniu" dataDxfId="1358" totalsRowDxfId="1357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35BE44D-60F1-4280-994C-2834F92D24BC}" name="Tabela23" displayName="Tabela23" ref="A8:L80" totalsRowCount="1" headerRowDxfId="1356" dataDxfId="1354" headerRowBorderDxfId="1355" tableBorderDxfId="1353" totalsRowBorderDxfId="1352">
  <autoFilter ref="A8:L79" xr:uid="{130899A0-5238-436C-8610-1D3DDD213376}"/>
  <tableColumns count="12">
    <tableColumn id="1" xr3:uid="{D3D3DD34-2F35-4153-A363-7057D1F7C4B0}" name="L.p." totalsRowLabel="Suma" dataDxfId="1351" totalsRowDxfId="1350"/>
    <tableColumn id="2" xr3:uid="{4D6D411D-478A-4741-99F2-DACB734027B0}" name="Nazwa, postać, dawka" dataDxfId="1349" totalsRowDxfId="1348"/>
    <tableColumn id="3" xr3:uid="{BAD1EE4D-2559-4842-BCE1-B83C1591F2BE}" name="j.m." dataDxfId="1347" totalsRowDxfId="1346"/>
    <tableColumn id="4" xr3:uid="{CC5A185D-71A7-4881-B9EA-397A6BEDD6C3}" name="Ilość" dataDxfId="1345" totalsRowDxfId="1344"/>
    <tableColumn id="5" xr3:uid="{BC9A0C74-978E-4E86-A34E-1EEBAADBD618}" name="C.j. netto" dataDxfId="1343" totalsRowDxfId="1342" dataCellStyle="Walutowy"/>
    <tableColumn id="6" xr3:uid="{D20C2AF8-D076-4039-897E-DABA629EDDA5}" name="Wartość netto" totalsRowFunction="sum" dataDxfId="1341" totalsRowDxfId="1340" dataCellStyle="Walutowy">
      <calculatedColumnFormula>Tabela23[[#This Row],[Ilość]]*Tabela23[[#This Row],[C.j. netto]]</calculatedColumnFormula>
    </tableColumn>
    <tableColumn id="7" xr3:uid="{B2BAF06F-A77F-4226-A30A-B5861F9DB9B1}" name="Stawka podatku VAT" dataDxfId="1339" totalsRowDxfId="1338"/>
    <tableColumn id="8" xr3:uid="{7A311DC0-BEE7-4927-B339-3A1BE99191EC}" name="C.j. brutto" dataDxfId="1337" totalsRowDxfId="1336" dataCellStyle="Walutowy"/>
    <tableColumn id="9" xr3:uid="{3E533049-6C6B-44AF-A3EC-3CC08F31D4B1}" name="Wartość brutto" dataDxfId="1335" totalsRowDxfId="1334"/>
    <tableColumn id="10" xr3:uid="{979A841F-C602-45AB-8844-1D72E47F4207}" name="Producent " dataDxfId="1333" totalsRowDxfId="1332"/>
    <tableColumn id="11" xr3:uid="{EEF9CED2-1E8A-4C89-B56B-2A9CCD40BD99}" name="Kod EAN" dataDxfId="1331" totalsRowDxfId="1330"/>
    <tableColumn id="12" xr3:uid="{1AC27A58-8A8A-4D0D-A8F9-7C5EA8895028}" name="Nazwa handlowa, dawka, postać , ilość w opakowaniu" dataDxfId="1329" totalsRowDxfId="1328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1DB51F5-600E-4E19-B2EF-E049DB924175}" name="Tabela24" displayName="Tabela24" ref="A8:L21" totalsRowCount="1" headerRowDxfId="1327" dataDxfId="1325" headerRowBorderDxfId="1326" tableBorderDxfId="1324" totalsRowBorderDxfId="1323">
  <autoFilter ref="A8:L20" xr:uid="{130899A0-5238-436C-8610-1D3DDD213376}"/>
  <sortState ref="A9:L17">
    <sortCondition ref="B8:B17"/>
  </sortState>
  <tableColumns count="12">
    <tableColumn id="1" xr3:uid="{F3EE2C3C-32B4-42E8-8608-D860CA3E11A6}" name="L.p." totalsRowLabel="Suma" dataDxfId="1322" totalsRowDxfId="1321"/>
    <tableColumn id="2" xr3:uid="{BDA5419A-F77B-40BC-8634-8DE81FECFE51}" name="Nazwa, postać, dawka" dataDxfId="1320" totalsRowDxfId="1319"/>
    <tableColumn id="3" xr3:uid="{FF333A5F-96FE-406C-888F-BA7563E122FC}" name="j.m." dataDxfId="1318" totalsRowDxfId="1317"/>
    <tableColumn id="4" xr3:uid="{979D7FED-D022-4950-BD12-BABE91E183A9}" name="Ilość" dataDxfId="1316" totalsRowDxfId="1315"/>
    <tableColumn id="5" xr3:uid="{EA418720-5491-41F3-99A0-935A7A6B7D68}" name="C.j. netto" dataDxfId="1314" totalsRowDxfId="1313" dataCellStyle="Walutowy"/>
    <tableColumn id="6" xr3:uid="{A81D495B-FEDA-4FC3-9E45-F90C0DB3323A}" name="Wartość netto" totalsRowFunction="sum" dataDxfId="1312" totalsRowDxfId="1311" dataCellStyle="Walutowy">
      <calculatedColumnFormula>Tabela24[[#This Row],[Ilość]]*Tabela24[[#This Row],[C.j. netto]]</calculatedColumnFormula>
    </tableColumn>
    <tableColumn id="7" xr3:uid="{E8149DA1-3BD9-45CB-8DA2-688B7122BF99}" name="Stawka podatku VAT" dataDxfId="1310" totalsRowDxfId="1309"/>
    <tableColumn id="8" xr3:uid="{0712EA4A-2645-497C-8AA1-C66C20ACDBB3}" name="C.j. brutto" dataDxfId="1308" totalsRowDxfId="1307" dataCellStyle="Walutowy"/>
    <tableColumn id="9" xr3:uid="{5B51721B-6E74-44D6-AA72-F36029A14E47}" name="Wartość brutto" dataDxfId="1306" totalsRowDxfId="1305"/>
    <tableColumn id="10" xr3:uid="{4163087F-D0AC-4A5C-926C-93D36FEED664}" name="Producent " dataDxfId="1304" totalsRowDxfId="1303"/>
    <tableColumn id="11" xr3:uid="{63BC5711-BE49-4009-931B-1DB81CF27AAE}" name="Kod EAN" dataDxfId="1302" totalsRowDxfId="1301"/>
    <tableColumn id="12" xr3:uid="{A2A3490C-03CC-4058-814C-9A5A8EA0C7A0}" name="Nazwa handlowa, dawka, postać , ilość w opakowaniu" dataDxfId="1300" totalsRowDxfId="1299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C039F75-6898-466F-B163-91DF2B4E3B6A}" name="Tabela25" displayName="Tabela25" ref="A8:L13" totalsRowCount="1" headerRowDxfId="1298" dataDxfId="1297">
  <autoFilter ref="A8:L12" xr:uid="{130899A0-5238-436C-8610-1D3DDD213376}"/>
  <sortState ref="A9:L12">
    <sortCondition ref="B8:B12"/>
  </sortState>
  <tableColumns count="12">
    <tableColumn id="1" xr3:uid="{3501D904-E151-47FA-8D42-15D4C7894DE7}" name="L.p." totalsRowLabel="Suma" dataDxfId="1296" totalsRowDxfId="1295"/>
    <tableColumn id="2" xr3:uid="{3523F73E-EAE5-48CA-80F2-01CBB0CB79B7}" name="Nazwa, postać, dawka" dataDxfId="1294" totalsRowDxfId="1293"/>
    <tableColumn id="3" xr3:uid="{05998F30-3FBD-44B5-B358-3F65FA8C7447}" name="j.m." dataDxfId="1292" totalsRowDxfId="1291"/>
    <tableColumn id="4" xr3:uid="{2AF4E726-BD9D-4720-BC05-528A73ACD911}" name="Ilość" dataDxfId="1290" totalsRowDxfId="1289"/>
    <tableColumn id="5" xr3:uid="{CFD50D7F-F1FA-448F-98E4-B542EC1BE61D}" name="C.j. netto" dataDxfId="1288" dataCellStyle="Walutowy"/>
    <tableColumn id="6" xr3:uid="{6760A221-519F-4CA9-91A8-25EC0D1A6DFA}" name="Wartość netto" totalsRowFunction="sum" dataDxfId="1287" totalsRowDxfId="1286" dataCellStyle="Walutowy">
      <calculatedColumnFormula>Tabela25[[#This Row],[Ilość]]*Tabela25[[#This Row],[C.j. netto]]</calculatedColumnFormula>
    </tableColumn>
    <tableColumn id="7" xr3:uid="{7CE08B99-9837-4CB9-9EA9-7BB15958D725}" name="Stawka podatku VAT" dataDxfId="1285"/>
    <tableColumn id="8" xr3:uid="{81538800-D30C-4CAD-A639-B2D68C1C6C1A}" name="C.j. brutto" dataDxfId="1284" totalsRowDxfId="1283" dataCellStyle="Walutowy"/>
    <tableColumn id="9" xr3:uid="{87B57401-4715-4A2E-BEE2-7D054C02A91B}" name="Wartość brutto" dataDxfId="1282"/>
    <tableColumn id="10" xr3:uid="{A1A62160-870E-4503-B708-B58210FC4A0B}" name="Producent " dataDxfId="1281"/>
    <tableColumn id="11" xr3:uid="{7153D3BE-CB05-4594-A3EB-F2632BAB4D63}" name="Kod EAN" dataDxfId="1280"/>
    <tableColumn id="12" xr3:uid="{D38BE62B-F4A4-45C1-A537-19711163383D}" name="Nazwa handlowa, dawka, postać , ilość w opakowaniu" dataDxfId="1279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F3EE35B-A9C1-4440-B1AA-1FB686D3FDFA}" name="Tabela26" displayName="Tabela26" ref="A8:L10" totalsRowCount="1" headerRowDxfId="1278" dataDxfId="1276" headerRowBorderDxfId="1277" tableBorderDxfId="1275" totalsRowBorderDxfId="1274">
  <autoFilter ref="A8:L9" xr:uid="{130899A0-5238-436C-8610-1D3DDD213376}"/>
  <sortState ref="A9:L9">
    <sortCondition ref="B8:B9"/>
  </sortState>
  <tableColumns count="12">
    <tableColumn id="1" xr3:uid="{445A11C1-2B57-4AF4-9465-48BE4B2B6E8C}" name="L.p." totalsRowLabel="Suma" dataDxfId="1273" totalsRowDxfId="1272"/>
    <tableColumn id="2" xr3:uid="{3A4E2CA0-776C-4F8B-89B5-44D0FFC1A1D3}" name="Nazwa, postać, dawka" dataDxfId="1271" totalsRowDxfId="1270"/>
    <tableColumn id="3" xr3:uid="{CCB14488-0F52-4386-92BA-D2146F83B1C2}" name="j.m." dataDxfId="1269" totalsRowDxfId="1268"/>
    <tableColumn id="4" xr3:uid="{5663503D-FCED-40B7-8C81-567705BB1436}" name="Ilość" dataDxfId="1267" totalsRowDxfId="1266"/>
    <tableColumn id="5" xr3:uid="{6F7C68B2-FD8D-4F6C-A377-AFBEFAF8C17F}" name="C.j. netto" dataDxfId="1265" totalsRowDxfId="1264" dataCellStyle="Walutowy"/>
    <tableColumn id="6" xr3:uid="{61F8FF22-9FB8-48D1-B128-404B2F949633}" name="Wartość netto" totalsRowFunction="sum" dataDxfId="1263" totalsRowDxfId="1262" dataCellStyle="Walutowy">
      <calculatedColumnFormula>Tabela26[[#This Row],[Ilość]]*Tabela26[[#This Row],[C.j. netto]]</calculatedColumnFormula>
    </tableColumn>
    <tableColumn id="7" xr3:uid="{6E9D87B4-B901-484A-9C7E-5E2930933B97}" name="Stawka podatku VAT" dataDxfId="1261" totalsRowDxfId="1260"/>
    <tableColumn id="8" xr3:uid="{5E22A8EF-8B71-4BDF-B59D-DAB2CA37DC2A}" name="C.j. brutto" dataDxfId="1259" totalsRowDxfId="1258" dataCellStyle="Walutowy"/>
    <tableColumn id="9" xr3:uid="{9EE7BEEC-399F-4D5E-9439-D18B1E3931EF}" name="Wartość brutto" dataDxfId="1257" totalsRowDxfId="1256"/>
    <tableColumn id="10" xr3:uid="{F5133B3B-F434-4EDB-8C34-CCE44F2FFA79}" name="Producent " dataDxfId="1255" totalsRowDxfId="1254"/>
    <tableColumn id="11" xr3:uid="{699699D2-4B5B-4731-85DF-526C58575C83}" name="Kod EAN" dataDxfId="1253" totalsRowDxfId="1252"/>
    <tableColumn id="12" xr3:uid="{E2DA07CF-38DE-409C-A14E-39A68171DBFD}" name="Nazwa handlowa, dawka, postać , ilość w opakowaniu" dataDxfId="1251" totalsRowDxfId="1250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4D3F1CC-10D3-42BF-9DE4-2ED709E55E94}" name="Tabela27" displayName="Tabela27" ref="A8:L41" totalsRowCount="1" headerRowDxfId="1249" dataDxfId="1248">
  <autoFilter ref="A8:L40" xr:uid="{130899A0-5238-436C-8610-1D3DDD213376}"/>
  <sortState ref="A9:L17">
    <sortCondition ref="B8:B17"/>
  </sortState>
  <tableColumns count="12">
    <tableColumn id="1" xr3:uid="{37A69F74-6FEB-4EF0-8660-5E817A67FFC2}" name="L.p." totalsRowLabel="Suma" dataDxfId="1247" totalsRowDxfId="1246"/>
    <tableColumn id="2" xr3:uid="{51A3E317-E8EF-426B-9F08-ACCE756F79F7}" name="Nazwa, postać, dawka" dataDxfId="1245" totalsRowDxfId="1244"/>
    <tableColumn id="3" xr3:uid="{495A2469-E42D-4C01-85A4-7D11330F91A0}" name="j.m." dataDxfId="1243" totalsRowDxfId="1242"/>
    <tableColumn id="4" xr3:uid="{F38AEA09-B67D-4D02-85D2-3246D4479089}" name="Ilość" dataDxfId="1241" totalsRowDxfId="1240"/>
    <tableColumn id="5" xr3:uid="{D74FBF4B-730A-4BB7-AC15-C19E0A145A41}" name="C.j. netto" dataDxfId="1239" dataCellStyle="Walutowy"/>
    <tableColumn id="6" xr3:uid="{E11DF539-4BFA-4708-A014-D15CD6BD544B}" name="Wartość netto" totalsRowFunction="sum" dataDxfId="1238" totalsRowDxfId="1237" dataCellStyle="Walutowy">
      <calculatedColumnFormula>Tabela27[[#This Row],[Ilość]]*Tabela27[[#This Row],[C.j. netto]]</calculatedColumnFormula>
    </tableColumn>
    <tableColumn id="7" xr3:uid="{2DED11CC-EFD5-43BB-946B-5ED03A9DB6E8}" name="Stawka podatku VAT" dataDxfId="1236"/>
    <tableColumn id="8" xr3:uid="{CE26271E-7D66-42C0-AF3A-C3614199F116}" name="C.j. brutto" dataDxfId="1235" totalsRowDxfId="1234" dataCellStyle="Walutowy"/>
    <tableColumn id="9" xr3:uid="{F1742E60-4119-4E91-9EB1-026EF59F6CA5}" name="Wartość brutto" dataDxfId="1233"/>
    <tableColumn id="10" xr3:uid="{80A46C66-DB62-42E3-9CCF-B2D225ECFBD2}" name="Producent " dataDxfId="1232"/>
    <tableColumn id="11" xr3:uid="{C4B0F48C-15A9-44A5-8BF7-AD5C53F40829}" name="Kod EAN" dataDxfId="1231"/>
    <tableColumn id="12" xr3:uid="{EB49AF90-FE4E-4B0E-9026-C5742E752797}" name="Nazwa handlowa, dawka, postać , ilość w opakowaniu" dataDxfId="1230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C60594D-5B28-49D3-8DE4-E70DF88CD832}" name="Tabela28" displayName="Tabela28" ref="A8:L60" totalsRowCount="1" headerRowDxfId="1229" dataDxfId="1228">
  <autoFilter ref="A8:L59" xr:uid="{130899A0-5238-436C-8610-1D3DDD213376}"/>
  <sortState ref="A9:L57">
    <sortCondition ref="B8:B57"/>
  </sortState>
  <tableColumns count="12">
    <tableColumn id="1" xr3:uid="{9F04D07C-99AF-4000-B74A-EAD1177ECEDC}" name="L.p." totalsRowLabel="Suma" dataDxfId="1227" totalsRowDxfId="1226"/>
    <tableColumn id="2" xr3:uid="{26269AD4-5AFB-4CDA-B7BF-432FA623F660}" name="Nazwa, postać, dawka" dataDxfId="1225" totalsRowDxfId="1224"/>
    <tableColumn id="3" xr3:uid="{EF0F8B3D-C416-4703-B1BD-332F91B2DBEE}" name="j.m." dataDxfId="1223" totalsRowDxfId="1222"/>
    <tableColumn id="4" xr3:uid="{45972466-BE5A-4956-A0D3-885E43501E89}" name="Ilość" dataDxfId="1221" totalsRowDxfId="1220"/>
    <tableColumn id="5" xr3:uid="{E39D3D52-11B5-43BB-82AF-F99F53107012}" name="C.j. netto" dataDxfId="1219" dataCellStyle="Walutowy"/>
    <tableColumn id="6" xr3:uid="{A282CE1C-DFB2-4407-B304-676CA30114FD}" name="Wartość netto" totalsRowFunction="sum" dataDxfId="1218" totalsRowDxfId="1217" dataCellStyle="Walutowy">
      <calculatedColumnFormula>Tabela28[[#This Row],[Ilość]]*Tabela28[[#This Row],[C.j. netto]]</calculatedColumnFormula>
    </tableColumn>
    <tableColumn id="7" xr3:uid="{5FB7F2D6-3567-4260-9D7F-5280BF3C6F00}" name="Stawka podatku VAT" dataDxfId="1216"/>
    <tableColumn id="8" xr3:uid="{06D85703-6E0D-403B-97BB-22BA8647E2F4}" name="C.j. brutto" dataDxfId="1215" totalsRowDxfId="1214" dataCellStyle="Walutowy"/>
    <tableColumn id="9" xr3:uid="{B26E8B81-5C3A-427F-9BCB-A9CA6B052A74}" name="Wartość brutto" dataDxfId="1213"/>
    <tableColumn id="10" xr3:uid="{466B2B2E-3C36-470E-824F-C02F732B22A4}" name="Producent " dataDxfId="1212"/>
    <tableColumn id="11" xr3:uid="{62301810-4238-4E61-873F-4979EA6E5C90}" name="Kod EAN" dataDxfId="1211"/>
    <tableColumn id="12" xr3:uid="{6641DA53-3A96-4ADE-8391-785079C6FA3D}" name="Nazwa handlowa, dawka, postać , ilość w opakowaniu" dataDxfId="1210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858646C-5526-44DE-894D-B2E06C85A09F}" name="Tabela29" displayName="Tabela29" ref="A8:L10" totalsRowCount="1" headerRowDxfId="1209" dataDxfId="1207" headerRowBorderDxfId="1208" tableBorderDxfId="1206" totalsRowBorderDxfId="1205">
  <autoFilter ref="A8:L9" xr:uid="{130899A0-5238-436C-8610-1D3DDD213376}"/>
  <tableColumns count="12">
    <tableColumn id="1" xr3:uid="{745E579E-1AEC-4844-9209-71427E134CE0}" name="L.p." totalsRowLabel="Suma" dataDxfId="1204" totalsRowDxfId="1203"/>
    <tableColumn id="2" xr3:uid="{0E6C49DC-B1AA-4F47-83D0-4E6B1016F8FC}" name="Nazwa, postać, dawka" dataDxfId="1202" totalsRowDxfId="1201"/>
    <tableColumn id="3" xr3:uid="{AD3591B2-BA14-44AD-A6A5-60D1DC67894E}" name="j.m." dataDxfId="1200" totalsRowDxfId="1199"/>
    <tableColumn id="4" xr3:uid="{9B868C12-2D45-45AD-832C-6F2B5ABD5AD0}" name="Ilość" dataDxfId="1198" totalsRowDxfId="1197"/>
    <tableColumn id="5" xr3:uid="{2AC716F3-6ABD-429A-9210-D4419CD42FC8}" name="C.j. netto" dataDxfId="1196" totalsRowDxfId="1195" dataCellStyle="Walutowy"/>
    <tableColumn id="6" xr3:uid="{88270711-E5D8-4E74-9386-5B11D01C62DD}" name="Wartość netto" totalsRowFunction="sum" dataDxfId="1194" totalsRowDxfId="1193" dataCellStyle="Walutowy">
      <calculatedColumnFormula>Tabela29[[#This Row],[Ilość]]*Tabela29[[#This Row],[C.j. netto]]</calculatedColumnFormula>
    </tableColumn>
    <tableColumn id="7" xr3:uid="{6504483E-590A-4AD9-941C-363ED07C8276}" name="Stawka podatku VAT" dataDxfId="1192" totalsRowDxfId="1191"/>
    <tableColumn id="8" xr3:uid="{3B310CF5-AF35-4057-82E9-9D410B4B998F}" name="C.j. brutto" dataDxfId="1190" totalsRowDxfId="1189" dataCellStyle="Walutowy"/>
    <tableColumn id="9" xr3:uid="{40D74662-F652-489A-8C60-4027121447A8}" name="Wartość brutto" dataDxfId="1188" totalsRowDxfId="1187"/>
    <tableColumn id="10" xr3:uid="{CDCC7B5D-49B0-4806-8841-297C665EA573}" name="Producent " dataDxfId="1186" totalsRowDxfId="1185"/>
    <tableColumn id="11" xr3:uid="{C766F5F7-DDEC-45B8-8077-F2DC51B4B90D}" name="Kod EAN" dataDxfId="1184" totalsRowDxfId="1183"/>
    <tableColumn id="12" xr3:uid="{D5CC78D1-CB32-4511-B904-68C6C91813D3}" name="Nazwa handlowa, dawka, postać , ilość w opakowaniu" dataDxfId="1182" totalsRowDxfId="118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64E62A-5B26-4698-9AF6-7CA2E6861D61}" name="Tabela3" displayName="Tabela3" ref="A8:L37" totalsRowCount="1" headerRowDxfId="1937" dataDxfId="1935" headerRowBorderDxfId="1936" tableBorderDxfId="1934" totalsRowBorderDxfId="1933">
  <autoFilter ref="A8:L36" xr:uid="{130899A0-5238-436C-8610-1D3DDD213376}"/>
  <sortState ref="A9:L35">
    <sortCondition ref="B8:B35"/>
  </sortState>
  <tableColumns count="12">
    <tableColumn id="1" xr3:uid="{FFCED46B-F1C5-4D53-8770-A9082AA221A4}" name="L.p." totalsRowLabel="Suma" dataDxfId="1932" totalsRowDxfId="1931"/>
    <tableColumn id="2" xr3:uid="{B54AECAA-E848-480A-8E0D-D778A2F8AD71}" name="Nazwa, postać, dawka" dataDxfId="1930" totalsRowDxfId="1929"/>
    <tableColumn id="3" xr3:uid="{7C4CA55C-57EA-4AFE-AEF0-C0F694C5AF44}" name="j.m." dataDxfId="1928" totalsRowDxfId="1927"/>
    <tableColumn id="4" xr3:uid="{C328EA22-0D53-42B2-9B7F-643B627720E7}" name="Ilość" dataDxfId="1926" totalsRowDxfId="1925"/>
    <tableColumn id="5" xr3:uid="{410A27EB-67EB-486A-9503-59A48E67AFD8}" name="C.j. netto" dataDxfId="1924" totalsRowDxfId="1923" dataCellStyle="Walutowy"/>
    <tableColumn id="6" xr3:uid="{B092BBA0-3EF1-432E-BFD8-204F02E0C8EC}" name="Wartość netto" totalsRowFunction="sum" dataDxfId="1922" totalsRowDxfId="1921" dataCellStyle="Walutowy">
      <calculatedColumnFormula>Tabela3[[#This Row],[Ilość]]*Tabela3[[#This Row],[C.j. netto]]</calculatedColumnFormula>
    </tableColumn>
    <tableColumn id="7" xr3:uid="{9EFE2C63-E488-4DF0-A027-C5E085D8DD61}" name="Stawka podatku VAT" dataDxfId="1920" totalsRowDxfId="1919"/>
    <tableColumn id="8" xr3:uid="{35396BD8-4E5C-45A0-9E91-8B67A8333085}" name="C.j. brutto" dataDxfId="1918" totalsRowDxfId="1917" dataCellStyle="Walutowy"/>
    <tableColumn id="9" xr3:uid="{F8DFC5DD-EBF8-4087-BA58-EA80F3465A28}" name="Wartość brutto" dataDxfId="1916" totalsRowDxfId="1915"/>
    <tableColumn id="10" xr3:uid="{1EA463DA-3411-49DB-BAB7-0DBE8C808D46}" name="Producent " dataDxfId="1914" totalsRowDxfId="1913"/>
    <tableColumn id="11" xr3:uid="{D78A565E-1F88-4C89-9C78-5AF74ADAAAB9}" name="Kod EAN" dataDxfId="1912" totalsRowDxfId="1911"/>
    <tableColumn id="12" xr3:uid="{A15BC3DD-1682-4C24-91C5-1EB9AB3B84D7}" name="Nazwa handlowa, dawka, postać , ilość w opakowaniu" dataDxfId="1910" totalsRowDxfId="1909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873B014-E307-4D29-94C8-8F60D71DC68C}" name="Tabela30" displayName="Tabela30" ref="A8:L11" totalsRowCount="1" headerRowDxfId="1180" dataDxfId="1178" headerRowBorderDxfId="1179" tableBorderDxfId="1177" totalsRowBorderDxfId="1176">
  <autoFilter ref="A8:L10" xr:uid="{130899A0-5238-436C-8610-1D3DDD213376}"/>
  <sortState ref="A9:L10">
    <sortCondition ref="B8:B10"/>
  </sortState>
  <tableColumns count="12">
    <tableColumn id="1" xr3:uid="{30B8CF3E-FA79-4395-9D02-A9D1F20C4C1F}" name="L.p." totalsRowLabel="Suma" dataDxfId="1175" totalsRowDxfId="1174"/>
    <tableColumn id="2" xr3:uid="{75431BC4-AC9D-4AAE-AE89-6FFC38476958}" name="Nazwa, postać, dawka" dataDxfId="1173" totalsRowDxfId="1172"/>
    <tableColumn id="3" xr3:uid="{039B3A6F-6124-4070-A145-4779AD6E198E}" name="j.m." dataDxfId="1171" totalsRowDxfId="1170"/>
    <tableColumn id="4" xr3:uid="{55AE6DFE-CEF3-435E-8674-AC544F8CC1DC}" name="Ilość" dataDxfId="1169" totalsRowDxfId="1168"/>
    <tableColumn id="5" xr3:uid="{3E5D94CE-9C2D-4DA4-B5BE-E5FFB18D58DB}" name="C.j. netto" dataDxfId="1167" totalsRowDxfId="1166" dataCellStyle="Walutowy"/>
    <tableColumn id="6" xr3:uid="{92857404-A7ED-43CC-A63E-B0770DAA48B9}" name="Wartość netto" totalsRowFunction="sum" dataDxfId="1165" totalsRowDxfId="1164" dataCellStyle="Walutowy">
      <calculatedColumnFormula>Tabela30[[#This Row],[Ilość]]*Tabela30[[#This Row],[C.j. netto]]</calculatedColumnFormula>
    </tableColumn>
    <tableColumn id="7" xr3:uid="{4E27A7DD-318B-4005-985B-D3CA993DDE4A}" name="Stawka podatku VAT" dataDxfId="1163" totalsRowDxfId="1162"/>
    <tableColumn id="8" xr3:uid="{FF025949-23EC-41DF-BDC8-A5B0D903F519}" name="C.j. brutto" dataDxfId="1161" totalsRowDxfId="1160" dataCellStyle="Walutowy"/>
    <tableColumn id="9" xr3:uid="{015910AC-18B1-4F51-B71A-ECC2BC986324}" name="Wartość brutto" dataDxfId="1159" totalsRowDxfId="1158"/>
    <tableColumn id="10" xr3:uid="{7197C41C-8F7B-4010-A6DE-B60713645781}" name="Producent " dataDxfId="1157" totalsRowDxfId="1156"/>
    <tableColumn id="11" xr3:uid="{8FD0C50B-BCAD-4B06-9E57-8076A32E5EDE}" name="Kod EAN" dataDxfId="1155" totalsRowDxfId="1154"/>
    <tableColumn id="12" xr3:uid="{093F62B2-1342-41B4-BA63-AC76A11B0430}" name="Nazwa handlowa, dawka, postać , ilość w opakowaniu" dataDxfId="1153" totalsRowDxfId="1152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7B43C802-B16D-4BB1-828F-4C73DC86F627}" name="Tabela31" displayName="Tabela31" ref="A8:L10" totalsRowCount="1" headerRowDxfId="1151" dataDxfId="1149" headerRowBorderDxfId="1150" tableBorderDxfId="1148" totalsRowBorderDxfId="1147">
  <autoFilter ref="A8:L9" xr:uid="{130899A0-5238-436C-8610-1D3DDD213376}"/>
  <tableColumns count="12">
    <tableColumn id="1" xr3:uid="{44F5470F-690B-485B-B314-9DE8CD8178CF}" name="L.p." totalsRowLabel="Suma" dataDxfId="1146" totalsRowDxfId="1145"/>
    <tableColumn id="2" xr3:uid="{86ED3610-E1B9-4833-80C9-A245809B0E2A}" name="Nazwa, postać, dawka" dataDxfId="1144" totalsRowDxfId="1143"/>
    <tableColumn id="3" xr3:uid="{689A2D5C-DBB0-4720-BB15-B32171DDA3E0}" name="j.m." dataDxfId="1142" totalsRowDxfId="1141"/>
    <tableColumn id="4" xr3:uid="{702C11E7-3339-47DB-A7EC-4B6EC1A2DB3E}" name="Ilość" dataDxfId="1140" totalsRowDxfId="1139"/>
    <tableColumn id="5" xr3:uid="{25C75862-1402-4767-A80B-0D1051314990}" name="C.j. netto" dataDxfId="1138" totalsRowDxfId="1137" dataCellStyle="Walutowy"/>
    <tableColumn id="6" xr3:uid="{1E8248B7-27CF-48E2-AB4C-DEC5FD867DF5}" name="Wartość netto" totalsRowFunction="sum" dataDxfId="1136" totalsRowDxfId="1135" dataCellStyle="Walutowy">
      <calculatedColumnFormula>Tabela31[[#This Row],[Ilość]]*Tabela31[[#This Row],[C.j. netto]]</calculatedColumnFormula>
    </tableColumn>
    <tableColumn id="7" xr3:uid="{0944821E-4F48-497D-974E-B8DCC96305F8}" name="Stawka podatku VAT" dataDxfId="1134" totalsRowDxfId="1133"/>
    <tableColumn id="8" xr3:uid="{BCF50EDF-3E8A-41F5-A227-81B1898F0612}" name="C.j. brutto" dataDxfId="1132" totalsRowDxfId="1131" dataCellStyle="Walutowy"/>
    <tableColumn id="9" xr3:uid="{DE84014F-71D2-4199-AE2C-87DE50DA7823}" name="Wartość brutto" dataDxfId="1130" totalsRowDxfId="1129"/>
    <tableColumn id="10" xr3:uid="{A8BF1C3E-73CA-4741-ABC0-BCE17849B65A}" name="Producent " dataDxfId="1128" totalsRowDxfId="1127"/>
    <tableColumn id="11" xr3:uid="{E89FA5A8-5985-4FDA-8A00-4566BBB79F06}" name="Kod EAN" dataDxfId="1126" totalsRowDxfId="1125"/>
    <tableColumn id="12" xr3:uid="{F188B960-5EA7-4A7E-8A1A-95FB9C57060E}" name="Nazwa handlowa, dawka, postać , ilość w opakowaniu" dataDxfId="1124" totalsRowDxfId="1123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E5C6F2E-744E-4E05-B5A5-0968BD263521}" name="Tabela32" displayName="Tabela32" ref="A8:L10" totalsRowCount="1" headerRowDxfId="1122" dataDxfId="1120" headerRowBorderDxfId="1121" tableBorderDxfId="1119" totalsRowBorderDxfId="1118">
  <autoFilter ref="A8:L9" xr:uid="{130899A0-5238-436C-8610-1D3DDD213376}"/>
  <tableColumns count="12">
    <tableColumn id="1" xr3:uid="{A560C5F5-A2CF-4E29-9EEF-9070564952CD}" name="L.p." totalsRowLabel="Suma" dataDxfId="1117" totalsRowDxfId="1116"/>
    <tableColumn id="2" xr3:uid="{B58D4E46-9895-4F4B-B17C-CA887A165093}" name="Nazwa, postać, dawka" dataDxfId="1115" totalsRowDxfId="1114"/>
    <tableColumn id="3" xr3:uid="{3F3F0D23-2E53-46C5-BEB9-9C869E8218D3}" name="j.m." dataDxfId="1113" totalsRowDxfId="1112"/>
    <tableColumn id="4" xr3:uid="{0C63506A-787E-4753-8F94-CCC6D73B2E03}" name="Ilość" dataDxfId="1111" totalsRowDxfId="1110"/>
    <tableColumn id="5" xr3:uid="{5E968759-652C-4197-9255-88C460E611AE}" name="C.j. netto" dataDxfId="1109" totalsRowDxfId="1108" dataCellStyle="Walutowy"/>
    <tableColumn id="6" xr3:uid="{82274D04-D92F-4742-93C0-770C2693127F}" name="Wartość netto" totalsRowFunction="sum" dataDxfId="1107" totalsRowDxfId="1106" dataCellStyle="Walutowy">
      <calculatedColumnFormula>Tabela32[[#This Row],[Ilość]]*Tabela32[[#This Row],[C.j. netto]]</calculatedColumnFormula>
    </tableColumn>
    <tableColumn id="7" xr3:uid="{A75222B1-D29E-4041-A076-7872CFB45CAF}" name="Stawka podatku VAT" dataDxfId="1105" totalsRowDxfId="1104"/>
    <tableColumn id="8" xr3:uid="{EAA31B64-3201-4521-A6B3-9019D9356282}" name="C.j. brutto" dataDxfId="1103" totalsRowDxfId="1102" dataCellStyle="Walutowy"/>
    <tableColumn id="9" xr3:uid="{A46C3CC0-16F3-4047-9345-04E6CB78EF2E}" name="Wartość brutto" dataDxfId="1101" totalsRowDxfId="1100"/>
    <tableColumn id="10" xr3:uid="{D41D9635-E35F-4EF1-A974-31660EBDD76B}" name="Producent " dataDxfId="1099" totalsRowDxfId="1098"/>
    <tableColumn id="11" xr3:uid="{2860602A-F50C-4AB9-91D3-AC3F3A9DEC24}" name="Kod EAN" dataDxfId="1097" totalsRowDxfId="1096"/>
    <tableColumn id="12" xr3:uid="{AB871CD1-9852-4E0F-A6AA-D9DB48278D53}" name="Nazwa handlowa, dawka, postać , ilość w opakowaniu" dataDxfId="1095" totalsRowDxfId="1094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0D0962A7-4517-424E-9A52-C424FF41B62F}" name="Tabela33" displayName="Tabela33" ref="A8:L32" totalsRowCount="1" headerRowDxfId="1093" dataDxfId="1091" headerRowBorderDxfId="1092" tableBorderDxfId="1090" totalsRowBorderDxfId="1089">
  <autoFilter ref="A8:L31" xr:uid="{130899A0-5238-436C-8610-1D3DDD213376}"/>
  <sortState ref="A9:L17">
    <sortCondition ref="B8:B17"/>
  </sortState>
  <tableColumns count="12">
    <tableColumn id="1" xr3:uid="{95B75F7C-6EBA-4E44-AA08-941309D82249}" name="L.p." totalsRowLabel="Suma" dataDxfId="1088" totalsRowDxfId="1087"/>
    <tableColumn id="2" xr3:uid="{0A277D16-E7B3-4949-88F8-8A78895CD4C3}" name="Nazwa, postać, dawka" dataDxfId="1086" totalsRowDxfId="1085"/>
    <tableColumn id="3" xr3:uid="{DFDB33D4-F261-4001-8EA5-E43448492841}" name="j.m." dataDxfId="1084" totalsRowDxfId="1083"/>
    <tableColumn id="4" xr3:uid="{753BDA7B-E142-4AB7-AC5D-80FCD12404CF}" name="Ilość" dataDxfId="1082" totalsRowDxfId="1081"/>
    <tableColumn id="5" xr3:uid="{4DD34F49-ED89-44D2-A02A-F9B52F1EC91D}" name="C.j. netto" dataDxfId="1080" totalsRowDxfId="1079" dataCellStyle="Walutowy"/>
    <tableColumn id="6" xr3:uid="{13F5C526-636B-43C0-9311-67A8467776C5}" name="Wartość netto" totalsRowFunction="sum" dataDxfId="1078" totalsRowDxfId="1077" dataCellStyle="Walutowy">
      <calculatedColumnFormula>Tabela33[[#This Row],[Ilość]]*Tabela33[[#This Row],[C.j. netto]]</calculatedColumnFormula>
    </tableColumn>
    <tableColumn id="7" xr3:uid="{70816E57-5CA8-453B-9E27-3286F7C6B650}" name="Stawka podatku VAT" dataDxfId="1076" totalsRowDxfId="1075"/>
    <tableColumn id="8" xr3:uid="{141445E2-56F7-4602-99AF-6644CECFECFB}" name="C.j. brutto" dataDxfId="1074" totalsRowDxfId="1073" dataCellStyle="Walutowy"/>
    <tableColumn id="9" xr3:uid="{F0B29831-EAC7-49FC-8780-1AAC6E39C7E7}" name="Wartość brutto" dataDxfId="1072" totalsRowDxfId="1071"/>
    <tableColumn id="10" xr3:uid="{CC5BF2C9-F747-4C32-B6D8-8566FE05C091}" name="Producent " dataDxfId="1070" totalsRowDxfId="1069"/>
    <tableColumn id="11" xr3:uid="{6AA4BAF8-6375-44C1-8086-DC9096658AB2}" name="Kod EAN" dataDxfId="1068" totalsRowDxfId="1067"/>
    <tableColumn id="12" xr3:uid="{7E60E599-7CDB-42D0-87ED-D0C3538186B6}" name="Nazwa handlowa, dawka, postać , ilość w opakowaniu" dataDxfId="1066" totalsRowDxfId="1065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33F34C62-2A59-4A0D-82A3-9DC5CF059421}" name="Tabela34" displayName="Tabela34" ref="A8:L44" totalsRowCount="1" headerRowDxfId="1064" dataDxfId="1062" headerRowBorderDxfId="1063" tableBorderDxfId="1061" totalsRowBorderDxfId="1060">
  <autoFilter ref="A8:L43" xr:uid="{130899A0-5238-436C-8610-1D3DDD213376}"/>
  <tableColumns count="12">
    <tableColumn id="1" xr3:uid="{802342E7-2D17-4C7E-8FC4-6716859BB4DF}" name="L.p." totalsRowLabel="Suma" dataDxfId="1059" totalsRowDxfId="1058"/>
    <tableColumn id="2" xr3:uid="{76C4E629-3899-45CF-8D69-2F840ADD1FF6}" name="Nazwa, postać, dawka" dataDxfId="1057" totalsRowDxfId="1056"/>
    <tableColumn id="3" xr3:uid="{B12B1E3D-6C4D-4752-86D7-D973BEC9C866}" name="j.m." dataDxfId="1055" totalsRowDxfId="1054"/>
    <tableColumn id="4" xr3:uid="{DBF69F1C-0818-4893-B928-A6EB6BD38FFE}" name="Ilość" dataDxfId="1053" totalsRowDxfId="1052"/>
    <tableColumn id="5" xr3:uid="{4E27C742-ED27-4B1D-966A-54B9733AD9B8}" name="C.j. netto" dataDxfId="1051" totalsRowDxfId="1050" dataCellStyle="Walutowy"/>
    <tableColumn id="6" xr3:uid="{A1093E30-6E76-4A84-8529-732CBD7960F7}" name="Wartość netto" totalsRowFunction="sum" dataDxfId="1049" totalsRowDxfId="1048" dataCellStyle="Walutowy">
      <calculatedColumnFormula>Tabela34[[#This Row],[Ilość]]*Tabela34[[#This Row],[C.j. netto]]</calculatedColumnFormula>
    </tableColumn>
    <tableColumn id="7" xr3:uid="{4C99CEFA-6562-4442-82F3-250CB8AE5B6F}" name="Stawka podatku VAT" dataDxfId="1047" totalsRowDxfId="1046"/>
    <tableColumn id="8" xr3:uid="{3E6922C1-34CC-4108-B377-DA6C0FDD9317}" name="C.j. brutto" dataDxfId="1045" totalsRowDxfId="1044" dataCellStyle="Walutowy"/>
    <tableColumn id="9" xr3:uid="{2298789B-6FFE-449E-B320-C59EC83A4E05}" name="Wartość brutto" dataDxfId="1043" totalsRowDxfId="1042"/>
    <tableColumn id="10" xr3:uid="{FDE78C34-BEBF-4859-990D-2950FCE19AEB}" name="Producent " dataDxfId="1041" totalsRowDxfId="1040"/>
    <tableColumn id="11" xr3:uid="{C1BB92EE-57D0-4796-B023-00CA25B82131}" name="Kod EAN" dataDxfId="1039" totalsRowDxfId="1038"/>
    <tableColumn id="12" xr3:uid="{B0D52159-AFE9-4C55-9609-0490CDEC5D05}" name="Nazwa handlowa, dawka, postać , ilość w opakowaniu" dataDxfId="1037" totalsRowDxfId="1036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1E3C535B-803E-4F5B-A271-E191A159B6B3}" name="Tabela35" displayName="Tabela35" ref="A8:L10" totalsRowCount="1" headerRowDxfId="1035" dataDxfId="1033" headerRowBorderDxfId="1034" tableBorderDxfId="1032" totalsRowBorderDxfId="1031">
  <autoFilter ref="A8:L9" xr:uid="{130899A0-5238-436C-8610-1D3DDD213376}"/>
  <tableColumns count="12">
    <tableColumn id="1" xr3:uid="{EEBB197A-3A9B-4263-8BA7-F0D332C676AE}" name="L.p." dataDxfId="1030" totalsRowDxfId="1029"/>
    <tableColumn id="2" xr3:uid="{2A69B881-67F8-416A-BDC6-032B4A87C438}" name="Nazwa, postać, dawka" dataDxfId="1028" totalsRowDxfId="1027"/>
    <tableColumn id="3" xr3:uid="{D9815C76-7597-4FFF-9BE8-3AD4494453D6}" name="j.m." dataDxfId="1026" totalsRowDxfId="1025"/>
    <tableColumn id="4" xr3:uid="{DE4429B5-373D-4543-B466-EB8FC4E46A19}" name="Ilość" dataDxfId="1024" totalsRowDxfId="1023"/>
    <tableColumn id="5" xr3:uid="{E8D1419B-F9F6-43CE-8E18-B804132EBEA5}" name="C.j. netto" dataDxfId="1022" totalsRowDxfId="1021"/>
    <tableColumn id="6" xr3:uid="{6BB6B428-4E35-48E1-88AC-781554558D4B}" name="Wartość netto" totalsRowFunction="sum" dataDxfId="1020" totalsRowDxfId="1019">
      <calculatedColumnFormula>Tabela35[[#This Row],[Ilość]]*Tabela35[[#This Row],[C.j. netto]]</calculatedColumnFormula>
    </tableColumn>
    <tableColumn id="7" xr3:uid="{76E155AE-6E5A-4579-9E74-7AAA0D979302}" name="Stawka podatku VAT" dataDxfId="1018" totalsRowDxfId="1017"/>
    <tableColumn id="8" xr3:uid="{04D83A6C-03BF-4752-B67B-B8A247F31D23}" name="C.j. brutto" dataDxfId="1016" totalsRowDxfId="1015" dataCellStyle="Walutowy"/>
    <tableColumn id="9" xr3:uid="{E02EB39B-941B-46D1-9A85-0179AFF50E6A}" name="Wartość brutto" dataDxfId="1014" totalsRowDxfId="1013"/>
    <tableColumn id="10" xr3:uid="{2F207A62-6864-4D01-95B3-A9F243D9CE99}" name="Producent " dataDxfId="1012" totalsRowDxfId="1011"/>
    <tableColumn id="11" xr3:uid="{10F858DD-9EF2-4FC8-8A50-3EFAB4F5D250}" name="Kod EAN" dataDxfId="1010" totalsRowDxfId="1009"/>
    <tableColumn id="12" xr3:uid="{B39909D7-1E6B-4191-92FD-B2B52BF14C04}" name="Nazwa handlowa, dawka, postać , ilość w opakowaniu" dataDxfId="1008" totalsRowDxfId="1007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F9E56D31-B14C-43A0-B59F-BB3F592A5B29}" name="Tabela36" displayName="Tabela36" ref="A8:L10" totalsRowCount="1" headerRowDxfId="1006" dataDxfId="1004" headerRowBorderDxfId="1005" tableBorderDxfId="1003" totalsRowBorderDxfId="1002">
  <autoFilter ref="A8:L9" xr:uid="{3E4501BC-86B6-497C-BBCC-3A2071A651AB}"/>
  <tableColumns count="12">
    <tableColumn id="1" xr3:uid="{A914CCA7-4435-46F1-A72A-3EAA22D92BDD}" name="L.p." totalsRowLabel="Suma" dataDxfId="1001" totalsRowDxfId="1000"/>
    <tableColumn id="2" xr3:uid="{12B7AE78-F090-4F82-AD82-7A1D29646710}" name="Nazwa, postać, dawka" dataDxfId="999" totalsRowDxfId="998"/>
    <tableColumn id="3" xr3:uid="{24F9C404-C2E0-494E-B00E-FC577AB9CC6A}" name="j.m." dataDxfId="997" totalsRowDxfId="996"/>
    <tableColumn id="4" xr3:uid="{33505A91-9138-4245-9B5D-AC16E1600AF7}" name="Ilość" dataDxfId="995" totalsRowDxfId="994"/>
    <tableColumn id="5" xr3:uid="{B60B634E-4B30-4B01-9932-4838622FF2AC}" name="C.j. netto" dataDxfId="993" totalsRowDxfId="992" dataCellStyle="Walutowy"/>
    <tableColumn id="6" xr3:uid="{EC7A8BE6-380A-4BC7-96B0-4AFE1FBD9B6F}" name="Wartość netto" totalsRowFunction="sum" dataDxfId="991" totalsRowDxfId="990" dataCellStyle="Walutowy">
      <calculatedColumnFormula>Tabela36[[#This Row],[Ilość]]*Tabela36[[#This Row],[C.j. netto]]</calculatedColumnFormula>
    </tableColumn>
    <tableColumn id="7" xr3:uid="{F0795194-7220-4052-88A1-FC6AE3226140}" name="Stawka podatku VAT" dataDxfId="989" totalsRowDxfId="988"/>
    <tableColumn id="8" xr3:uid="{0A79C911-EEA4-4BB4-AA0F-37858F34A892}" name="C.j. brutto" dataDxfId="987" totalsRowDxfId="986" dataCellStyle="Walutowy"/>
    <tableColumn id="9" xr3:uid="{8669B132-8612-46CB-AB8B-5D62DE108E8C}" name="Wartość brutto" dataDxfId="985" totalsRowDxfId="984"/>
    <tableColumn id="10" xr3:uid="{078807C0-818E-437F-90BE-84B75348DCBD}" name="Producent " dataDxfId="983" totalsRowDxfId="982"/>
    <tableColumn id="11" xr3:uid="{76FE96FD-E15C-4413-A0E5-6CD10EA0250F}" name="Kod EAN" dataDxfId="981" totalsRowDxfId="980"/>
    <tableColumn id="12" xr3:uid="{7DDF877C-43DD-4089-9DB4-7855DFE38395}" name="Nazwa handlowa, dawka, postać , ilość w opakowaniu" dataDxfId="979" totalsRowDxfId="978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9BD25DE6-40D6-4F2F-8F6D-ACE8AD060D81}" name="Tabela37" displayName="Tabela37" ref="A8:L14" totalsRowCount="1" headerRowDxfId="977" dataDxfId="975" headerRowBorderDxfId="976" tableBorderDxfId="974" totalsRowBorderDxfId="973">
  <autoFilter ref="A8:L13" xr:uid="{130899A0-5238-436C-8610-1D3DDD213376}"/>
  <sortState ref="A9:L13">
    <sortCondition ref="B8:B13"/>
  </sortState>
  <tableColumns count="12">
    <tableColumn id="1" xr3:uid="{C2BF0D53-6933-4B57-8B6B-69EC92A09541}" name="L.p." totalsRowLabel="Suma" dataDxfId="972" totalsRowDxfId="971"/>
    <tableColumn id="2" xr3:uid="{3F075DB3-2825-4E0C-8491-9F12E81A4309}" name="Nazwa, postać, dawka" dataDxfId="970" totalsRowDxfId="969"/>
    <tableColumn id="3" xr3:uid="{B6420BF3-14E4-42EB-B09C-A3D3257C6A59}" name="j.m." dataDxfId="968" totalsRowDxfId="967"/>
    <tableColumn id="4" xr3:uid="{C48EB4B7-34B4-4B1E-89C9-E1230D8F4068}" name="Ilość" dataDxfId="966" totalsRowDxfId="965"/>
    <tableColumn id="5" xr3:uid="{DF0A658E-78E2-413A-A64D-FEE3E3C2FF3A}" name="C.j. netto" dataDxfId="964" totalsRowDxfId="963" dataCellStyle="Walutowy"/>
    <tableColumn id="6" xr3:uid="{C92DCE2E-277F-4A63-8593-1D28728D803D}" name="Wartość netto" totalsRowFunction="sum" dataDxfId="962" totalsRowDxfId="961" dataCellStyle="Walutowy">
      <calculatedColumnFormula>Tabela37[[#This Row],[Ilość]]*Tabela37[[#This Row],[C.j. netto]]</calculatedColumnFormula>
    </tableColumn>
    <tableColumn id="7" xr3:uid="{4E765167-ADE0-4411-A5DF-D53E2762EE79}" name="Stawka podatku VAT" dataDxfId="960" totalsRowDxfId="959"/>
    <tableColumn id="8" xr3:uid="{750BF22F-35E2-4C6B-9D36-2AC71CA4614B}" name="C.j. brutto" dataDxfId="958" totalsRowDxfId="957" dataCellStyle="Walutowy"/>
    <tableColumn id="9" xr3:uid="{DCB48ED5-57C1-459A-9BCB-D3719FFC2814}" name="Wartość brutto" dataDxfId="956" totalsRowDxfId="955"/>
    <tableColumn id="10" xr3:uid="{FE85AF79-03E2-4B30-8264-B911237FD3D3}" name="Producent " dataDxfId="954" totalsRowDxfId="953"/>
    <tableColumn id="11" xr3:uid="{96DC6F61-7938-4E21-88B2-9E6F9B0C5405}" name="Kod EAN" dataDxfId="952" totalsRowDxfId="951"/>
    <tableColumn id="12" xr3:uid="{888FD90B-C718-4A24-863F-96A54CB25422}" name="Nazwa handlowa, dawka, postać , ilość w opakowaniu" dataDxfId="950" totalsRowDxfId="949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0B6742A4-5E51-44A4-926A-0C50AD1A8360}" name="Tabela38" displayName="Tabela38" ref="A8:L15" totalsRowCount="1" headerRowDxfId="948" dataDxfId="946" headerRowBorderDxfId="947" tableBorderDxfId="945" totalsRowBorderDxfId="944">
  <autoFilter ref="A8:L14" xr:uid="{130899A0-5238-436C-8610-1D3DDD213376}"/>
  <tableColumns count="12">
    <tableColumn id="1" xr3:uid="{C99A2254-0865-4C62-BAED-41003EF3E321}" name="L.p." totalsRowLabel="Suma" dataDxfId="943" totalsRowDxfId="942"/>
    <tableColumn id="2" xr3:uid="{3A38C1E5-5BEC-4674-8E1E-5341AC5FFDA8}" name="Nazwa, postać, dawka" dataDxfId="941" totalsRowDxfId="940"/>
    <tableColumn id="3" xr3:uid="{BAF495DD-EAD3-4DE2-87E2-6E6F1328B282}" name="j.m." dataDxfId="939" totalsRowDxfId="938"/>
    <tableColumn id="4" xr3:uid="{39702A98-E803-444D-99A1-C482931CCED6}" name="Ilość" dataDxfId="937" totalsRowDxfId="936"/>
    <tableColumn id="5" xr3:uid="{00D2312A-D7D0-440C-BB6E-6AB02844133A}" name="C.j. netto" dataDxfId="935" totalsRowDxfId="934" dataCellStyle="Walutowy"/>
    <tableColumn id="6" xr3:uid="{9E9A0EC3-6015-4001-A57D-CDE69A7D32CF}" name="Wartość netto" totalsRowFunction="sum" dataDxfId="933" totalsRowDxfId="932" dataCellStyle="Walutowy">
      <calculatedColumnFormula>Tabela38[[#This Row],[Ilość]]*Tabela38[[#This Row],[C.j. netto]]</calculatedColumnFormula>
    </tableColumn>
    <tableColumn id="7" xr3:uid="{E5E02A08-85E1-4AE3-88B9-3B2C628FC5A4}" name="Stawka podatku VAT" dataDxfId="931" totalsRowDxfId="930"/>
    <tableColumn id="8" xr3:uid="{4FAF1B46-09A0-4382-8D5E-96C178FDC108}" name="C.j. brutto" dataDxfId="929" totalsRowDxfId="928" dataCellStyle="Walutowy"/>
    <tableColumn id="9" xr3:uid="{0FCB5A25-9066-4739-AD9C-F72B65E85C41}" name="Wartość brutto" dataDxfId="927" totalsRowDxfId="926"/>
    <tableColumn id="10" xr3:uid="{865DD36F-3CEE-4E9A-B32E-10F8F716BA80}" name="Producent " dataDxfId="925" totalsRowDxfId="924"/>
    <tableColumn id="11" xr3:uid="{7F86BEF1-9C3A-4EF8-994A-2B65E8A86634}" name="Kod EAN" dataDxfId="923" totalsRowDxfId="922"/>
    <tableColumn id="12" xr3:uid="{1EBCB6F3-F3E7-4E76-93DA-31E6E3834016}" name="Nazwa handlowa, dawka, postać , ilość w opakowaniu" dataDxfId="921" totalsRowDxfId="920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8109D85C-6498-4F6B-BBF7-4C88D1DFB5DF}" name="Tabela39" displayName="Tabela39" ref="A8:L10" totalsRowCount="1" headerRowDxfId="919" dataDxfId="917" headerRowBorderDxfId="918" tableBorderDxfId="916" totalsRowBorderDxfId="915">
  <autoFilter ref="A8:L9" xr:uid="{130899A0-5238-436C-8610-1D3DDD213376}"/>
  <tableColumns count="12">
    <tableColumn id="1" xr3:uid="{6B141E56-96D0-4E1C-A965-9CE4C8C48F4E}" name="L.p." totalsRowLabel="Suma" dataDxfId="914" totalsRowDxfId="913"/>
    <tableColumn id="2" xr3:uid="{375657D2-4389-4293-8EA2-8D89DC4FA678}" name="Nazwa, postać, dawka" dataDxfId="912" totalsRowDxfId="911"/>
    <tableColumn id="3" xr3:uid="{F1703B02-2874-41FD-8F93-32663B9EC8EB}" name="j.m." dataDxfId="910" totalsRowDxfId="909"/>
    <tableColumn id="4" xr3:uid="{41FB27B7-1B0D-4F38-90F3-25DA6A21741A}" name="Ilość" dataDxfId="908" totalsRowDxfId="907"/>
    <tableColumn id="5" xr3:uid="{DC204F53-CA1E-4CB9-A477-F7A25D7751D4}" name="C.j. netto" dataDxfId="906" totalsRowDxfId="905"/>
    <tableColumn id="6" xr3:uid="{D7563DEF-2B70-488F-B926-1393ECDE9831}" name="Wartość netto" totalsRowFunction="sum" dataDxfId="904" totalsRowDxfId="903" dataCellStyle="Walutowy">
      <calculatedColumnFormula>Tabela39[[#This Row],[C.j. netto]]*Tabela39[[#This Row],[Ilość]]</calculatedColumnFormula>
    </tableColumn>
    <tableColumn id="7" xr3:uid="{0027E439-778B-44AD-82D8-19D90D71400F}" name="Stawka podatku VAT" dataDxfId="902" totalsRowDxfId="901"/>
    <tableColumn id="8" xr3:uid="{535EDD42-79D3-416D-B1D6-9E027134BAFC}" name="C.j. brutto" dataDxfId="900" totalsRowDxfId="899" dataCellStyle="Walutowy"/>
    <tableColumn id="9" xr3:uid="{9B2AE99D-7535-4FA2-821F-9E6CC37B4C0A}" name="Wartość brutto" dataDxfId="898" totalsRowDxfId="897"/>
    <tableColumn id="10" xr3:uid="{BCD561BA-4CE2-4AF8-B221-6DA344D8F7F7}" name="Producent " dataDxfId="896" totalsRowDxfId="895"/>
    <tableColumn id="11" xr3:uid="{2E59CCE7-C0ED-44D2-A1E0-EF2F83C0E36A}" name="Kod EAN" dataDxfId="894" totalsRowDxfId="893"/>
    <tableColumn id="12" xr3:uid="{4EE0B364-44F6-4901-BA46-CA9D13A02AF4}" name="Nazwa handlowa, dawka, postać , ilość w opakowaniu" dataDxfId="892" totalsRowDxfId="89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39255CC-FE9A-4A75-8925-0B0ED5DE3857}" name="Tabela4" displayName="Tabela4" ref="A8:L14" totalsRowCount="1" headerRowDxfId="1908" dataDxfId="1906" headerRowBorderDxfId="1907" tableBorderDxfId="1905" totalsRowBorderDxfId="1904">
  <autoFilter ref="A8:L13" xr:uid="{130899A0-5238-436C-8610-1D3DDD213376}"/>
  <sortState ref="A9:L9">
    <sortCondition ref="B8:B9"/>
  </sortState>
  <tableColumns count="12">
    <tableColumn id="1" xr3:uid="{1B8EF833-C23B-4F4B-A8FB-88EA397D969E}" name="L.p." totalsRowLabel="Suma" dataDxfId="1903" totalsRowDxfId="1902"/>
    <tableColumn id="2" xr3:uid="{90475EA7-5985-473B-891D-66B324D2C4FF}" name="Nazwa, postać, dawka" dataDxfId="1901" totalsRowDxfId="1900"/>
    <tableColumn id="3" xr3:uid="{3C9947B8-B88B-46CF-AD48-897AEEC75E29}" name="j.m." dataDxfId="1899" totalsRowDxfId="1898"/>
    <tableColumn id="4" xr3:uid="{56756CEE-521C-46B7-A05A-D611BE9FB64E}" name="Ilość" dataDxfId="1897" totalsRowDxfId="1896"/>
    <tableColumn id="5" xr3:uid="{4CA512A0-4103-4C92-8B13-386430F9AB53}" name="C.j. netto" dataDxfId="1895" totalsRowDxfId="1894" dataCellStyle="Walutowy"/>
    <tableColumn id="6" xr3:uid="{401BAE30-29DB-4E1B-99FA-6BF1A78A1BC2}" name="Wartość netto" totalsRowFunction="sum" dataDxfId="1893" totalsRowDxfId="1892" dataCellStyle="Walutowy">
      <calculatedColumnFormula>Tabela4[[#This Row],[Ilość]]*Tabela4[[#This Row],[C.j. netto]]</calculatedColumnFormula>
    </tableColumn>
    <tableColumn id="7" xr3:uid="{A06A98AE-5145-4A0A-98EE-ED1837C7A22A}" name="Stawka podatku VAT" dataDxfId="1891" totalsRowDxfId="1890"/>
    <tableColumn id="8" xr3:uid="{26DB257F-A4FC-4989-BA74-DE007EC5D5B5}" name="C.j. brutto" dataDxfId="1889" totalsRowDxfId="1888" dataCellStyle="Walutowy"/>
    <tableColumn id="9" xr3:uid="{6DBCCB20-2525-4214-A840-3BF882C4453A}" name="Wartość brutto" dataDxfId="1887" totalsRowDxfId="1886"/>
    <tableColumn id="10" xr3:uid="{E79EE3DB-63A7-40B6-AF6E-A443F91A4118}" name="Producent " dataDxfId="1885" totalsRowDxfId="1884"/>
    <tableColumn id="11" xr3:uid="{310315AC-EF51-4E99-B377-4E079924480C}" name="Kod EAN" dataDxfId="1883" totalsRowDxfId="1882"/>
    <tableColumn id="12" xr3:uid="{B753570D-870E-42A6-BCAD-A7B0764EE70D}" name="Nazwa handlowa, dawka, postać , ilość w opakowaniu" dataDxfId="1881" totalsRowDxfId="1880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DFF123E-9F08-4140-9F4D-90B8E94513FA}" name="Tabela40" displayName="Tabela40" ref="A8:L27" totalsRowCount="1" headerRowDxfId="890" dataDxfId="889">
  <autoFilter ref="A8:L26" xr:uid="{130899A0-5238-436C-8610-1D3DDD213376}"/>
  <sortState ref="A9:L16">
    <sortCondition ref="B8:B16"/>
  </sortState>
  <tableColumns count="12">
    <tableColumn id="1" xr3:uid="{931BBB74-E2C5-4203-84C9-DD6661F31CB3}" name="L.p." totalsRowLabel="Suma" dataDxfId="888" totalsRowDxfId="887"/>
    <tableColumn id="2" xr3:uid="{9A36682C-1E5C-42F4-8893-C616DBAB9B9C}" name="Nazwa, postać, dawka" dataDxfId="886" totalsRowDxfId="885"/>
    <tableColumn id="3" xr3:uid="{98FEDEB6-F31D-4435-92A5-33D4D6142240}" name="j.m." dataDxfId="884" totalsRowDxfId="883"/>
    <tableColumn id="4" xr3:uid="{AB307137-1745-4EFE-B1EA-5703B50C52C6}" name="Ilość" dataDxfId="882" totalsRowDxfId="881"/>
    <tableColumn id="5" xr3:uid="{16C39E72-AE2A-46FD-BF6E-9176533CBCC7}" name="C.j. netto" dataDxfId="880" dataCellStyle="Walutowy"/>
    <tableColumn id="6" xr3:uid="{5DEC1629-549B-455F-9607-946AA390E300}" name="Wartość netto" totalsRowFunction="sum" dataDxfId="879" totalsRowDxfId="878" dataCellStyle="Walutowy">
      <calculatedColumnFormula>Tabela40[[#This Row],[Ilość]]*Tabela40[[#This Row],[C.j. netto]]</calculatedColumnFormula>
    </tableColumn>
    <tableColumn id="7" xr3:uid="{0C16D04E-E5E4-4680-B14A-156937B8509C}" name="Stawka podatku VAT" dataDxfId="877"/>
    <tableColumn id="8" xr3:uid="{4BB50DE6-EFF6-4987-8661-618C35953B28}" name="C.j. brutto" dataDxfId="876" totalsRowDxfId="875" dataCellStyle="Walutowy"/>
    <tableColumn id="9" xr3:uid="{8206636D-08E3-4C00-A57B-A974E29FCBE4}" name="Wartość brutto" dataDxfId="874"/>
    <tableColumn id="10" xr3:uid="{28BF1DAE-722B-4B24-AD09-8D3EFDB5E54A}" name="Producent " dataDxfId="873"/>
    <tableColumn id="11" xr3:uid="{ED4B6907-FF2A-4D7E-9EBB-E9A4BD70B8E9}" name="Kod EAN" dataDxfId="872"/>
    <tableColumn id="12" xr3:uid="{3A0823BF-39DC-4C19-9FBD-B87719825D0E}" name="Nazwa handlowa, dawka, postać , ilość w opakowaniu" dataDxfId="871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52CFA0F7-D868-43C3-B7AF-F9A82DA6FF21}" name="Tabela41" displayName="Tabela41" ref="A8:L10" totalsRowCount="1" headerRowDxfId="870" dataDxfId="868" headerRowBorderDxfId="869" tableBorderDxfId="867" totalsRowBorderDxfId="866">
  <autoFilter ref="A8:L9" xr:uid="{130899A0-5238-436C-8610-1D3DDD213376}"/>
  <tableColumns count="12">
    <tableColumn id="1" xr3:uid="{76FF34C3-6CD9-4829-868D-E5AB77264253}" name="L.p." dataDxfId="865" totalsRowDxfId="864"/>
    <tableColumn id="2" xr3:uid="{94AC0D04-A50C-481B-B520-492E9EF0A308}" name="Nazwa, postać, dawka" dataDxfId="863" totalsRowDxfId="862"/>
    <tableColumn id="3" xr3:uid="{3EA541A5-4E21-42B2-B9B7-7DAAEEAF5D1A}" name="j.m." dataDxfId="861" totalsRowDxfId="860"/>
    <tableColumn id="4" xr3:uid="{41B5ECBB-26C5-42A1-A1B8-D471D2AE282B}" name="Ilość" dataDxfId="859" totalsRowDxfId="858"/>
    <tableColumn id="5" xr3:uid="{396099BD-1488-471B-964E-A8AB071001BF}" name="C.j. netto" dataDxfId="857" totalsRowDxfId="856"/>
    <tableColumn id="6" xr3:uid="{D858DFC1-453E-46A5-B441-1C4790A03E82}" name="Wartość netto" totalsRowFunction="sum" dataDxfId="855" totalsRowDxfId="854">
      <calculatedColumnFormula>Tabela41[[#This Row],[Ilość]]*Tabela41[[#This Row],[C.j. netto]]</calculatedColumnFormula>
    </tableColumn>
    <tableColumn id="7" xr3:uid="{CDBCB9CD-1D5C-4BB8-AE85-D0138E346CC9}" name="Stawka podatku VAT" dataDxfId="853" totalsRowDxfId="852"/>
    <tableColumn id="8" xr3:uid="{E330221B-47E8-4B2A-B1CB-812920179486}" name="C.j. brutto" dataDxfId="851" totalsRowDxfId="850" dataCellStyle="Walutowy"/>
    <tableColumn id="9" xr3:uid="{087D5AB9-C6E8-43A8-B124-E91D5E8DE6C5}" name="Wartość brutto" dataDxfId="849" totalsRowDxfId="848"/>
    <tableColumn id="10" xr3:uid="{FB1D6FA9-8904-4310-9CD1-486A15B34C3A}" name="Producent " dataDxfId="847" totalsRowDxfId="846"/>
    <tableColumn id="11" xr3:uid="{3161F0E6-1C90-45D1-852E-9CC2EC53CD4D}" name="Kod EAN" dataDxfId="845" totalsRowDxfId="844"/>
    <tableColumn id="12" xr3:uid="{55EE2112-608B-419D-9E0B-4419C45508D5}" name="Nazwa handlowa, dawka, postać , ilość w opakowaniu" dataDxfId="843" totalsRowDxfId="842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B5791F7-0584-4D60-8CF8-F6E46DC13C8E}" name="Tabela42" displayName="Tabela42" ref="A8:L31" totalsRowCount="1" headerRowDxfId="841" dataDxfId="839" headerRowBorderDxfId="840" tableBorderDxfId="838" totalsRowBorderDxfId="837">
  <autoFilter ref="A8:L30" xr:uid="{130899A0-5238-436C-8610-1D3DDD213376}"/>
  <sortState ref="A9:L19">
    <sortCondition ref="B8:B19"/>
  </sortState>
  <tableColumns count="12">
    <tableColumn id="1" xr3:uid="{E832A50B-4D92-41FB-B187-3290A4E55806}" name="L.p." totalsRowLabel="Suma" dataDxfId="836" totalsRowDxfId="835"/>
    <tableColumn id="2" xr3:uid="{500B4519-EF8B-4458-9614-38ECA4F484DC}" name="Nazwa, postać, dawka" dataDxfId="834" totalsRowDxfId="833"/>
    <tableColumn id="3" xr3:uid="{08AD5D0D-7607-4779-B138-03E71338FC9F}" name="j.m." dataDxfId="832" totalsRowDxfId="831"/>
    <tableColumn id="4" xr3:uid="{74673A3F-369F-4607-A355-10133A93358A}" name="Ilość" dataDxfId="830" totalsRowDxfId="829"/>
    <tableColumn id="5" xr3:uid="{5DCBB448-3434-43F5-9A39-F0DE5748369F}" name="C.j. netto" dataDxfId="828" totalsRowDxfId="827" dataCellStyle="Walutowy"/>
    <tableColumn id="6" xr3:uid="{C80D4A0A-2286-4DD1-BB56-9D80D98AC5C3}" name="Wartość netto" totalsRowFunction="sum" dataDxfId="826" totalsRowDxfId="825" dataCellStyle="Walutowy">
      <calculatedColumnFormula>Tabela42[[#This Row],[Ilość]]*Tabela42[[#This Row],[C.j. netto]]</calculatedColumnFormula>
    </tableColumn>
    <tableColumn id="7" xr3:uid="{F6509E90-025A-4E4E-8C32-674F6DD71191}" name="Stawka podatku VAT" dataDxfId="824" totalsRowDxfId="823"/>
    <tableColumn id="8" xr3:uid="{28549B52-716C-4F3F-A292-C3126C7B9CCD}" name="C.j. brutto" dataDxfId="822" totalsRowDxfId="821" dataCellStyle="Walutowy"/>
    <tableColumn id="9" xr3:uid="{EF97BC8C-C46D-4556-B692-B1B5877DFAF9}" name="Wartość brutto" dataDxfId="820" totalsRowDxfId="819"/>
    <tableColumn id="10" xr3:uid="{82B94083-6AEC-41DE-9F6B-1F5639FD95F1}" name="Producent " dataDxfId="818" totalsRowDxfId="817"/>
    <tableColumn id="11" xr3:uid="{465EF2A1-29B9-4DE2-B210-3C427D5D7E26}" name="Kod EAN" dataDxfId="816" totalsRowDxfId="815"/>
    <tableColumn id="12" xr3:uid="{159B8B10-50E6-4F39-A3F5-7D39F38752CE}" name="Nazwa handlowa, dawka, postać , ilość w opakowaniu" dataDxfId="814" totalsRowDxfId="813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97F49F6-2D12-4939-AC25-D259541ECF60}" name="Tabela43" displayName="Tabela43" ref="A8:L11" totalsRowCount="1" headerRowDxfId="812" dataDxfId="810" headerRowBorderDxfId="811" tableBorderDxfId="809" totalsRowBorderDxfId="808">
  <autoFilter ref="A8:L10" xr:uid="{130899A0-5238-436C-8610-1D3DDD213376}"/>
  <sortState ref="A9:L9">
    <sortCondition ref="B8:B9"/>
  </sortState>
  <tableColumns count="12">
    <tableColumn id="1" xr3:uid="{9644711E-CF58-4DD9-9AF2-C72DBC1703EF}" name="L.p." totalsRowLabel="Suma" dataDxfId="807" totalsRowDxfId="806"/>
    <tableColumn id="2" xr3:uid="{A2258557-627B-43DE-A798-2AEAA511C13E}" name="Nazwa, postać, dawka" dataDxfId="805" totalsRowDxfId="804"/>
    <tableColumn id="3" xr3:uid="{7C010924-5DB4-49A1-BEED-854250DB12F4}" name="j.m." dataDxfId="803" totalsRowDxfId="802"/>
    <tableColumn id="4" xr3:uid="{E81B5427-2707-47A3-8A72-E481C15189C3}" name="Ilość" dataDxfId="801" totalsRowDxfId="800"/>
    <tableColumn id="5" xr3:uid="{71B032A1-CEB6-4FCA-9D15-8A75DAB7D0E1}" name="C.j. netto" dataDxfId="799" totalsRowDxfId="798" dataCellStyle="Walutowy"/>
    <tableColumn id="6" xr3:uid="{F1105F68-882F-4FBC-B3B3-D185767DE251}" name="Wartość netto" totalsRowFunction="sum" dataDxfId="797" totalsRowDxfId="796" dataCellStyle="Walutowy">
      <calculatedColumnFormula>Tabela43[[#This Row],[Ilość]]*Tabela43[[#This Row],[C.j. netto]]</calculatedColumnFormula>
    </tableColumn>
    <tableColumn id="7" xr3:uid="{8C14A170-F0DD-495E-8CDD-0C323312E948}" name="Stawka podatku VAT" dataDxfId="795" totalsRowDxfId="794"/>
    <tableColumn id="8" xr3:uid="{D2D78735-D27C-42A6-A3C1-A7CC885C7693}" name="C.j. brutto" dataDxfId="793" totalsRowDxfId="792" dataCellStyle="Walutowy"/>
    <tableColumn id="9" xr3:uid="{341BB077-2C07-4AFD-81B4-9C2786C6E572}" name="Wartość brutto" dataDxfId="791" totalsRowDxfId="790"/>
    <tableColumn id="10" xr3:uid="{932924AD-486B-445B-ABD7-5C9BF0E6866D}" name="Producent " dataDxfId="789" totalsRowDxfId="788"/>
    <tableColumn id="11" xr3:uid="{C792E693-CE60-44CD-85B1-3509AC82C776}" name="Kod EAN" dataDxfId="787" totalsRowDxfId="786"/>
    <tableColumn id="12" xr3:uid="{C6FEC42F-3E08-45F7-9E00-1DF637BABCAC}" name="Nazwa handlowa, dawka, postać , ilość w opakowaniu" dataDxfId="785" totalsRowDxfId="784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75DF5077-F389-47F5-AD36-DF562BF7A8A8}" name="Tabela44" displayName="Tabela44" ref="A8:L10" totalsRowCount="1" headerRowDxfId="783" dataDxfId="781" headerRowBorderDxfId="782" tableBorderDxfId="780" totalsRowBorderDxfId="779">
  <autoFilter ref="A8:L9" xr:uid="{130899A0-5238-436C-8610-1D3DDD213376}"/>
  <tableColumns count="12">
    <tableColumn id="1" xr3:uid="{9374418D-5025-426F-B6B9-EBC846D4429F}" name="L.p." dataDxfId="778" totalsRowDxfId="777"/>
    <tableColumn id="2" xr3:uid="{034E47E2-1CCB-4D54-9780-D0210F294A1F}" name="Nazwa, postać, dawka" dataDxfId="776" totalsRowDxfId="775"/>
    <tableColumn id="3" xr3:uid="{BA9B2417-9E56-4A60-84B2-E7A4B1454C05}" name="j.m." dataDxfId="774" totalsRowDxfId="773"/>
    <tableColumn id="4" xr3:uid="{CABC953A-C25B-4F1F-9978-89681B79CA11}" name="Ilość" dataDxfId="772" totalsRowDxfId="771"/>
    <tableColumn id="5" xr3:uid="{C5BD8F81-791A-455C-ACA2-0238C9727FF2}" name="C.j. netto" dataDxfId="770" totalsRowDxfId="769"/>
    <tableColumn id="6" xr3:uid="{CAB405FF-8BA5-4111-A631-53497AC22817}" name="Wartość netto" totalsRowFunction="sum" dataDxfId="768" totalsRowDxfId="767">
      <calculatedColumnFormula>Tabela44[[#This Row],[Ilość]]*Tabela44[[#This Row],[C.j. netto]]</calculatedColumnFormula>
    </tableColumn>
    <tableColumn id="7" xr3:uid="{F52A6CBF-5B43-4ADB-B4E3-54BEBD17C259}" name="Stawka podatku VAT" dataDxfId="766" totalsRowDxfId="765"/>
    <tableColumn id="8" xr3:uid="{8098224A-B09A-41F3-AF45-FF1E34DA6690}" name="C.j. brutto" dataDxfId="764" totalsRowDxfId="763" dataCellStyle="Walutowy"/>
    <tableColumn id="9" xr3:uid="{BA4DDBB8-789D-4B0B-940F-FE8E69A6A786}" name="Wartość brutto" dataDxfId="762" totalsRowDxfId="761"/>
    <tableColumn id="10" xr3:uid="{E6F5B93C-E190-43BF-92C4-00BFBD6DE371}" name="Producent " dataDxfId="760" totalsRowDxfId="759"/>
    <tableColumn id="11" xr3:uid="{D05F10F8-89B4-4786-A111-C08BADC5A080}" name="Kod EAN" dataDxfId="758" totalsRowDxfId="757"/>
    <tableColumn id="12" xr3:uid="{C1E5554D-D2A9-4B75-90E9-2D95E5F0EF9C}" name="Nazwa handlowa, dawka, postać , ilość w opakowaniu" dataDxfId="756" totalsRowDxfId="755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BADA20B8-2CDD-4EA7-B4A5-59FFA165DF9B}" name="Tabela45" displayName="Tabela45" ref="A8:L13" totalsRowCount="1" headerRowDxfId="754" dataDxfId="752" headerRowBorderDxfId="753" tableBorderDxfId="751" totalsRowBorderDxfId="750">
  <autoFilter ref="A8:L12" xr:uid="{130899A0-5238-436C-8610-1D3DDD213376}"/>
  <tableColumns count="12">
    <tableColumn id="1" xr3:uid="{8D34AD9D-365A-445D-A152-4F994263F1D4}" name="L.p." totalsRowLabel="Suma" dataDxfId="749" totalsRowDxfId="748"/>
    <tableColumn id="2" xr3:uid="{EA8EE5E1-1FF5-425D-8FEE-7CC6AEB2CD59}" name="Nazwa, postać, dawka" dataDxfId="747" totalsRowDxfId="746"/>
    <tableColumn id="3" xr3:uid="{1E79A587-07A8-4FFC-8068-EF4BC9065735}" name="j.m." dataDxfId="745" totalsRowDxfId="744"/>
    <tableColumn id="4" xr3:uid="{9AF056C0-4B60-4336-B9F4-C220D352F295}" name="Ilość" dataDxfId="743" totalsRowDxfId="742"/>
    <tableColumn id="5" xr3:uid="{1F47484D-74D1-4DA3-9A9A-4C6616F652C8}" name="C.j. netto" dataDxfId="741" totalsRowDxfId="740"/>
    <tableColumn id="6" xr3:uid="{3A6B7D09-9832-4940-8D97-A437544DBCEE}" name="Wartość netto" totalsRowFunction="sum" dataDxfId="739" totalsRowDxfId="738"/>
    <tableColumn id="7" xr3:uid="{06A3B024-7E47-47CF-A21B-0F689C869B24}" name="Stawka podatku VAT" dataDxfId="737" totalsRowDxfId="736"/>
    <tableColumn id="8" xr3:uid="{765D300F-04D7-4C6B-A078-FCF9A059FDD0}" name="C.j. brutto" dataDxfId="735" totalsRowDxfId="734" dataCellStyle="Walutowy"/>
    <tableColumn id="9" xr3:uid="{AED45069-192B-46B0-A52E-F34C46CE9431}" name="Wartość brutto" dataDxfId="733" totalsRowDxfId="732"/>
    <tableColumn id="10" xr3:uid="{8BCD26E8-FA0C-4490-BC9B-26BA34DC2BEC}" name="Producent " dataDxfId="731" totalsRowDxfId="730"/>
    <tableColumn id="11" xr3:uid="{F9C14344-1AE0-41A4-B921-57F55D96AF93}" name="Kod EAN" dataDxfId="729" totalsRowDxfId="728"/>
    <tableColumn id="12" xr3:uid="{B4538700-53F4-44E1-86D2-7176E4393190}" name="Nazwa handlowa, dawka, postać , ilość w opakowaniu" dataDxfId="727" totalsRowDxfId="726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9FC0A3A-F6B2-493B-945B-54452F71753A}" name="Tabela46" displayName="Tabela46" ref="A8:L10" totalsRowCount="1" headerRowDxfId="725" dataDxfId="723" headerRowBorderDxfId="724" tableBorderDxfId="722" totalsRowBorderDxfId="721">
  <autoFilter ref="A8:L9" xr:uid="{130899A0-5238-436C-8610-1D3DDD213376}"/>
  <sortState ref="A9:L9">
    <sortCondition ref="B8:B9"/>
  </sortState>
  <tableColumns count="12">
    <tableColumn id="1" xr3:uid="{BCD254DC-D577-4F17-B34D-B8D51AFFBF1F}" name="L.p." totalsRowLabel="Suma" dataDxfId="720" totalsRowDxfId="719"/>
    <tableColumn id="2" xr3:uid="{6CCFE18A-FE7D-4F04-AEFC-35C856D007A3}" name="Nazwa, postać, dawka" dataDxfId="718" totalsRowDxfId="717"/>
    <tableColumn id="3" xr3:uid="{4D24E21A-B83A-4B43-935B-97EE3E909F68}" name="j.m." dataDxfId="716" totalsRowDxfId="715"/>
    <tableColumn id="4" xr3:uid="{9125AA75-F535-4218-BFA7-3FF7B472139C}" name="Ilość" dataDxfId="714" totalsRowDxfId="713"/>
    <tableColumn id="5" xr3:uid="{2491B502-DBF7-44E0-B982-912A387E76A5}" name="C.j. netto" dataDxfId="712" totalsRowDxfId="711" dataCellStyle="Walutowy"/>
    <tableColumn id="6" xr3:uid="{5642E823-6759-4C77-B2AA-A8C540BAEFB3}" name="Wartość netto" totalsRowFunction="sum" dataDxfId="710" totalsRowDxfId="709" dataCellStyle="Walutowy">
      <calculatedColumnFormula>Tabela46[[#This Row],[Ilość]]*Tabela46[[#This Row],[C.j. netto]]</calculatedColumnFormula>
    </tableColumn>
    <tableColumn id="7" xr3:uid="{C8BB007A-F8C4-4BC1-8884-1495DC93CFC1}" name="Stawka podatku VAT" dataDxfId="708" totalsRowDxfId="707"/>
    <tableColumn id="8" xr3:uid="{0977EC13-D730-42D8-A260-17FEB8F5DB0F}" name="C.j. brutto" dataDxfId="706" totalsRowDxfId="705" dataCellStyle="Walutowy"/>
    <tableColumn id="9" xr3:uid="{FD410F8C-0127-4ACE-8092-B096F159B5F9}" name="Wartość brutto" dataDxfId="704" totalsRowDxfId="703"/>
    <tableColumn id="10" xr3:uid="{9F3141EC-1C18-4FE6-9007-B9D31E8209CA}" name="Producent " dataDxfId="702" totalsRowDxfId="701"/>
    <tableColumn id="11" xr3:uid="{1DC74E4A-222B-4748-8DB1-B58EE27B5BE8}" name="Kod EAN" dataDxfId="700" totalsRowDxfId="699"/>
    <tableColumn id="12" xr3:uid="{2A1AAB45-E66B-4CFC-A1E7-C3D1C21ABA71}" name="Nazwa handlowa, dawka, postać , ilość w opakowaniu" dataDxfId="698" totalsRowDxfId="697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D54D34B5-6E3C-452C-8B4C-FB27AD79ABC8}" name="Tabela47" displayName="Tabela47" ref="A8:L10" totalsRowCount="1" headerRowDxfId="696" dataDxfId="694" headerRowBorderDxfId="695" tableBorderDxfId="693" totalsRowBorderDxfId="692">
  <autoFilter ref="A8:L9" xr:uid="{130899A0-5238-436C-8610-1D3DDD213376}"/>
  <tableColumns count="12">
    <tableColumn id="1" xr3:uid="{92A4A566-32F2-4555-8A7A-9FFFAD39671B}" name="L.p." totalsRowLabel="Suma" dataDxfId="691" totalsRowDxfId="690"/>
    <tableColumn id="2" xr3:uid="{6A9DF8D3-D45D-4A09-8C09-4817B8587D36}" name="Nazwa, postać, dawka" dataDxfId="689" totalsRowDxfId="688"/>
    <tableColumn id="3" xr3:uid="{2F96C1D6-431C-48F1-BEFE-D4F8950EE9BB}" name="j.m." dataDxfId="687" totalsRowDxfId="686"/>
    <tableColumn id="4" xr3:uid="{1AABF898-2050-4FFD-B618-43CDAD8F4057}" name="Ilość" dataDxfId="685" totalsRowDxfId="684"/>
    <tableColumn id="5" xr3:uid="{855AD02C-7818-4BA1-837E-029B53060E0B}" name="C.j. netto" dataDxfId="683" totalsRowDxfId="682" dataCellStyle="Walutowy"/>
    <tableColumn id="6" xr3:uid="{8016C3C3-2E5E-4428-ABBD-DEE1698E4E5F}" name="Wartość netto" totalsRowFunction="sum" dataDxfId="681" totalsRowDxfId="680" dataCellStyle="Walutowy">
      <calculatedColumnFormula>Tabela47[[#This Row],[Ilość]]*Tabela47[[#This Row],[C.j. netto]]</calculatedColumnFormula>
    </tableColumn>
    <tableColumn id="7" xr3:uid="{A83FC0F3-6EC9-4313-A7F7-B891FDAD8C29}" name="Stawka podatku VAT" dataDxfId="679" totalsRowDxfId="678"/>
    <tableColumn id="8" xr3:uid="{2961BB50-1F88-46C7-8BFE-FD91A659A798}" name="C.j. brutto" dataDxfId="677" totalsRowDxfId="676" dataCellStyle="Walutowy"/>
    <tableColumn id="9" xr3:uid="{D6C5E88A-96B4-4029-A3E1-3E6C7EA938C2}" name="Wartość brutto" dataDxfId="675" totalsRowDxfId="674"/>
    <tableColumn id="10" xr3:uid="{17BC1D97-7D21-4A28-A087-F231A5A4E93F}" name="Producent " dataDxfId="673" totalsRowDxfId="672"/>
    <tableColumn id="11" xr3:uid="{BEDAB984-CC57-486F-A325-06D267E1F950}" name="Kod EAN" dataDxfId="671" totalsRowDxfId="670"/>
    <tableColumn id="12" xr3:uid="{F12B7FA6-0A67-4175-9F5F-63FDC375FBC4}" name="Nazwa handlowa, dawka, postać , ilość w opakowaniu" dataDxfId="669" totalsRowDxfId="668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D815F2E-AD21-4196-9F2B-CDC62464C834}" name="Tabela48" displayName="Tabela48" ref="A8:L28" totalsRowCount="1" headerRowDxfId="667" dataDxfId="665" headerRowBorderDxfId="666" tableBorderDxfId="664" totalsRowBorderDxfId="663">
  <autoFilter ref="A8:L27" xr:uid="{130899A0-5238-436C-8610-1D3DDD213376}"/>
  <sortState ref="A9:L15">
    <sortCondition ref="B8:B15"/>
  </sortState>
  <tableColumns count="12">
    <tableColumn id="1" xr3:uid="{7CD52A66-0805-47F7-BEA8-7095EC7BAAB1}" name="L.p." totalsRowLabel="Suma" dataDxfId="662" totalsRowDxfId="661"/>
    <tableColumn id="2" xr3:uid="{8F719B42-DD8D-417A-BCFA-7EAFE6C6910B}" name="Nazwa, postać, dawka" dataDxfId="660" totalsRowDxfId="659"/>
    <tableColumn id="3" xr3:uid="{E24FE387-E42E-422A-8904-CACE13A1E155}" name="j.m." dataDxfId="658" totalsRowDxfId="657"/>
    <tableColumn id="4" xr3:uid="{0F4D2376-AC32-46B4-88B9-441B1C3852A6}" name="Ilość" dataDxfId="656" totalsRowDxfId="655"/>
    <tableColumn id="5" xr3:uid="{6488FB10-A518-4439-A1AE-07DCC053BA05}" name="C.j. netto" dataDxfId="654" totalsRowDxfId="653" dataCellStyle="Walutowy"/>
    <tableColumn id="6" xr3:uid="{03E34D3C-1BF7-4379-BF43-780744BED86D}" name="Wartość netto" totalsRowFunction="sum" dataDxfId="652" totalsRowDxfId="651" dataCellStyle="Walutowy">
      <calculatedColumnFormula>Tabela48[[#This Row],[Ilość]]*Tabela48[[#This Row],[C.j. netto]]</calculatedColumnFormula>
    </tableColumn>
    <tableColumn id="7" xr3:uid="{8B6DD125-5613-483C-AA17-C8C2D1B4026C}" name="Stawka podatku VAT" dataDxfId="650" totalsRowDxfId="649"/>
    <tableColumn id="8" xr3:uid="{5DDB6BC0-C74D-4B3A-8955-E4440DA85A6C}" name="C.j. brutto" dataDxfId="648" totalsRowDxfId="647" dataCellStyle="Walutowy"/>
    <tableColumn id="9" xr3:uid="{964BFD23-BDB3-4D48-8BFE-E8976395D057}" name="Wartość brutto" dataDxfId="646" totalsRowDxfId="645"/>
    <tableColumn id="10" xr3:uid="{DA2C7BDC-4738-4256-BD36-2CF2BE8A2D43}" name="Producent " dataDxfId="644" totalsRowDxfId="643"/>
    <tableColumn id="11" xr3:uid="{38948B7A-9960-4B90-9242-38B185999BB6}" name="Kod EAN" dataDxfId="642" totalsRowDxfId="641"/>
    <tableColumn id="12" xr3:uid="{B564CC34-78C3-42AC-BD7B-DDB4B944B261}" name="Nazwa handlowa, dawka, postać , ilość w opakowaniu" dataDxfId="640" totalsRowDxfId="639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641B798-7499-4CDE-924B-38F7A1E5B774}" name="Tabela49" displayName="Tabela49" ref="A8:L39" totalsRowCount="1" headerRowDxfId="638" dataDxfId="636" headerRowBorderDxfId="637" tableBorderDxfId="635" totalsRowBorderDxfId="634">
  <autoFilter ref="A8:L38" xr:uid="{130899A0-5238-436C-8610-1D3DDD213376}"/>
  <sortState ref="A9:L15">
    <sortCondition ref="B8:B15"/>
  </sortState>
  <tableColumns count="12">
    <tableColumn id="1" xr3:uid="{52B5FC1B-EC27-481E-965C-0B80C8251FCB}" name="L.p." totalsRowLabel="Suma" dataDxfId="633" totalsRowDxfId="632"/>
    <tableColumn id="2" xr3:uid="{E356B259-60E9-4E5D-B794-83500AF6935F}" name="Nazwa, postać, dawka" dataDxfId="631" totalsRowDxfId="630"/>
    <tableColumn id="3" xr3:uid="{2500B201-3647-4608-A3D8-3B01A4A99C28}" name="j.m." dataDxfId="629" totalsRowDxfId="628"/>
    <tableColumn id="4" xr3:uid="{F69F1642-4E83-4505-86F4-FE0ED2EA570F}" name="Ilość" dataDxfId="627" totalsRowDxfId="626"/>
    <tableColumn id="5" xr3:uid="{62F2FD97-80B1-4C3E-A50A-F60828472A9D}" name="C.j. netto" dataDxfId="625" totalsRowDxfId="624" dataCellStyle="Walutowy"/>
    <tableColumn id="6" xr3:uid="{3BB8B035-2CCB-4F3D-A094-66F443C6BC1D}" name="Wartość netto" totalsRowFunction="sum" dataDxfId="623" totalsRowDxfId="622" dataCellStyle="Walutowy">
      <calculatedColumnFormula>Tabela49[[#This Row],[Ilość]]*Tabela49[[#This Row],[C.j. netto]]</calculatedColumnFormula>
    </tableColumn>
    <tableColumn id="7" xr3:uid="{1C7DD914-ED41-4FB6-88B9-8A8DEEDF9D76}" name="Stawka podatku VAT" dataDxfId="621" totalsRowDxfId="620"/>
    <tableColumn id="8" xr3:uid="{7B270C39-2A00-4EDF-81DF-36F183957936}" name="C.j. brutto" dataDxfId="619" totalsRowDxfId="618" dataCellStyle="Walutowy"/>
    <tableColumn id="9" xr3:uid="{CF749EC7-217C-4858-9385-391B98EE0B4B}" name="Wartość brutto" dataDxfId="617" totalsRowDxfId="616"/>
    <tableColumn id="10" xr3:uid="{1408BBAD-B89A-41AE-9534-34466C29EA93}" name="Producent " dataDxfId="615" totalsRowDxfId="614"/>
    <tableColumn id="11" xr3:uid="{EDECF5C3-B27C-4F62-AAA6-CAB13AD9903B}" name="Kod EAN" dataDxfId="613" totalsRowDxfId="612"/>
    <tableColumn id="12" xr3:uid="{688C5BFF-A14F-46AB-AC07-2E213D37D198}" name="Nazwa handlowa, dawka, postać , ilość w opakowaniu" dataDxfId="611" totalsRowDxfId="6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AB331EB5-B685-41BD-BBE8-3FEC904791BC}" name="Tabela5" displayName="Tabela5" ref="A8:L15" totalsRowCount="1" headerRowDxfId="1879" dataDxfId="1877" headerRowBorderDxfId="1878" tableBorderDxfId="1876" totalsRowBorderDxfId="1875">
  <autoFilter ref="A8:L14" xr:uid="{130899A0-5238-436C-8610-1D3DDD213376}"/>
  <tableColumns count="12">
    <tableColumn id="1" xr3:uid="{922CCEC7-D2DC-4FB8-A92E-AF57B052719B}" name="L.p." totalsRowLabel="Suma" dataDxfId="1874" totalsRowDxfId="1873"/>
    <tableColumn id="2" xr3:uid="{DA0CDAD9-1D71-4FCB-AE62-7F3786D911C5}" name="Nazwa, postać, dawka" dataDxfId="1872" totalsRowDxfId="1871"/>
    <tableColumn id="3" xr3:uid="{47B367AF-4F4A-43FC-8D0F-247441CEC01B}" name="j.m." dataDxfId="1870" totalsRowDxfId="1869"/>
    <tableColumn id="4" xr3:uid="{8FE9ABFF-C8D6-4C18-B7FD-BD308EC477E8}" name="Ilość" dataDxfId="1868" totalsRowDxfId="1867"/>
    <tableColumn id="5" xr3:uid="{8D9C3345-23D8-4D71-99DD-BAE9D99C9161}" name="C.j. netto" dataDxfId="1866" totalsRowDxfId="1865" dataCellStyle="Walutowy"/>
    <tableColumn id="6" xr3:uid="{5402341B-C27D-4752-A041-81856E0E8ACB}" name="Wartość netto" totalsRowFunction="sum" dataDxfId="1864" totalsRowDxfId="1863" dataCellStyle="Walutowy">
      <calculatedColumnFormula>Tabela5[[#This Row],[Ilość]]*Tabela5[[#This Row],[C.j. netto]]</calculatedColumnFormula>
    </tableColumn>
    <tableColumn id="7" xr3:uid="{BD849925-4405-446E-9464-D7D6D1C65BB6}" name="Stawka podatku VAT" dataDxfId="1862" totalsRowDxfId="1861"/>
    <tableColumn id="8" xr3:uid="{4EFE367C-FB09-4E4D-AAA5-1EAD81D8729A}" name="C.j. brutto" dataDxfId="1860" totalsRowDxfId="1859" dataCellStyle="Walutowy"/>
    <tableColumn id="9" xr3:uid="{F8B3EB59-49B9-4F0A-918F-42BDB853CE4E}" name="Wartość brutto" dataDxfId="1858" totalsRowDxfId="1857"/>
    <tableColumn id="10" xr3:uid="{00E7BDA8-95CA-4E42-BBC8-2E159DD449AD}" name="Producent " dataDxfId="1856" totalsRowDxfId="1855"/>
    <tableColumn id="11" xr3:uid="{FC327517-71F0-4130-A8F7-15DBBCF57DC1}" name="Kod EAN" dataDxfId="1854" totalsRowDxfId="1853"/>
    <tableColumn id="12" xr3:uid="{5535BCE4-B9D2-41A7-8D5F-04BDA18335EB}" name="Nazwa handlowa, dawka, postać , ilość w opakowaniu" dataDxfId="1852" totalsRowDxfId="1851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A11E826-C23E-4B13-ACBF-7D5706041B85}" name="Tabela50" displayName="Tabela50" ref="A8:L21" totalsRowCount="1" headerRowDxfId="609" dataDxfId="607" headerRowBorderDxfId="608" tableBorderDxfId="606" totalsRowBorderDxfId="605">
  <autoFilter ref="A8:L20" xr:uid="{130899A0-5238-436C-8610-1D3DDD213376}"/>
  <sortState ref="A9:L17">
    <sortCondition ref="B8:B17"/>
  </sortState>
  <tableColumns count="12">
    <tableColumn id="1" xr3:uid="{D8928B1F-DE5F-492D-A6B4-A26FE96A3BD9}" name="L.p." totalsRowLabel="Suma" dataDxfId="604" totalsRowDxfId="603"/>
    <tableColumn id="2" xr3:uid="{7FB17113-02E1-432D-A896-0A44B17F11A6}" name="Nazwa, postać, dawka" dataDxfId="602" totalsRowDxfId="601"/>
    <tableColumn id="3" xr3:uid="{ACA3E874-BA54-4E39-980F-95ADA81897A5}" name="j.m." dataDxfId="600" totalsRowDxfId="599"/>
    <tableColumn id="4" xr3:uid="{0606D1B3-583A-49A8-A23F-2A85E2D48B49}" name="Ilość" dataDxfId="598" totalsRowDxfId="597"/>
    <tableColumn id="5" xr3:uid="{5647C498-D633-4633-9B21-98953C4D77B0}" name="C.j. netto" dataDxfId="596" totalsRowDxfId="595" dataCellStyle="Walutowy"/>
    <tableColumn id="6" xr3:uid="{88F2C67F-E18E-4CCF-878C-8EE3D286F295}" name="Wartość netto" totalsRowFunction="sum" dataDxfId="594" totalsRowDxfId="593" dataCellStyle="Walutowy">
      <calculatedColumnFormula>Tabela50[[#This Row],[Ilość]]*Tabela50[[#This Row],[C.j. netto]]</calculatedColumnFormula>
    </tableColumn>
    <tableColumn id="7" xr3:uid="{4DFF32D9-0AC4-4D13-9A14-84C79D9B1FB8}" name="Stawka podatku VAT" dataDxfId="592" totalsRowDxfId="591"/>
    <tableColumn id="8" xr3:uid="{91976499-5A3F-4948-B068-F054FC91811F}" name="C.j. brutto" dataDxfId="590" totalsRowDxfId="589" dataCellStyle="Walutowy"/>
    <tableColumn id="9" xr3:uid="{AE989EF3-DF27-4ABC-99A5-9D9AA39DD3D6}" name="Wartość brutto" dataDxfId="588" totalsRowDxfId="587"/>
    <tableColumn id="10" xr3:uid="{AB894FB8-E5C0-44DD-AD03-55F4E9D1D6D0}" name="Producent " dataDxfId="586" totalsRowDxfId="585"/>
    <tableColumn id="11" xr3:uid="{C0A96E25-BDAB-4182-B895-C159EF65D209}" name="Kod EAN" dataDxfId="584" totalsRowDxfId="583"/>
    <tableColumn id="12" xr3:uid="{C38487FD-AB4F-43EB-B559-76EDBA797D22}" name="Nazwa handlowa, dawka, postać , ilość w opakowaniu" dataDxfId="582" totalsRowDxfId="581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D4C22C3-5930-4B2D-8E1A-8D7825BFF1F2}" name="Tabela51" displayName="Tabela51" ref="A8:L41" totalsRowCount="1" headerRowDxfId="580" dataDxfId="578" totalsRowDxfId="576" headerRowBorderDxfId="579" tableBorderDxfId="577" totalsRowBorderDxfId="575">
  <autoFilter ref="A8:L40" xr:uid="{130899A0-5238-436C-8610-1D3DDD213376}"/>
  <sortState ref="A9:L15">
    <sortCondition ref="B8:B15"/>
  </sortState>
  <tableColumns count="12">
    <tableColumn id="1" xr3:uid="{5968D791-318E-4FAE-9C5A-643108C81539}" name="L.p." totalsRowLabel="Suma" dataDxfId="574" totalsRowDxfId="573"/>
    <tableColumn id="2" xr3:uid="{5DA4CF6B-E52D-4030-BDE1-D2BAA5D081B7}" name="Nazwa, postać, dawka" dataDxfId="572" totalsRowDxfId="571"/>
    <tableColumn id="3" xr3:uid="{6566D422-A3FB-437C-923E-A0C1CCDC4825}" name="j.m." dataDxfId="570" totalsRowDxfId="569"/>
    <tableColumn id="4" xr3:uid="{30870E77-E4ED-492E-92BC-C410EF4FBB6A}" name="Ilość" dataDxfId="568" totalsRowDxfId="567"/>
    <tableColumn id="5" xr3:uid="{984E28F9-AD75-4161-A3E2-D28CC46C5E39}" name="C.j. netto" dataDxfId="566" totalsRowDxfId="565" dataCellStyle="Walutowy"/>
    <tableColumn id="6" xr3:uid="{738CDDB5-1CF8-4174-9272-D25E5656BEB1}" name="Wartość netto" totalsRowFunction="sum" dataDxfId="564" totalsRowDxfId="563" dataCellStyle="Walutowy">
      <calculatedColumnFormula>Tabela51[[#This Row],[Ilość]]*Tabela51[[#This Row],[C.j. netto]]</calculatedColumnFormula>
    </tableColumn>
    <tableColumn id="7" xr3:uid="{8DE22D78-6AA3-4645-8021-BCD36916B08F}" name="Stawka podatku VAT" dataDxfId="562" totalsRowDxfId="561"/>
    <tableColumn id="8" xr3:uid="{E8638C64-5665-46C6-8F8D-0C6D7D9F2C5A}" name="C.j. brutto" dataDxfId="560" totalsRowDxfId="559" dataCellStyle="Walutowy"/>
    <tableColumn id="9" xr3:uid="{25378F20-CD34-481E-ACA6-350DC18A47CC}" name="Wartość brutto" dataDxfId="558" totalsRowDxfId="557"/>
    <tableColumn id="10" xr3:uid="{759DF105-5662-4092-9CE2-8E765849BD13}" name="Producent " dataDxfId="556" totalsRowDxfId="555"/>
    <tableColumn id="11" xr3:uid="{E4F8AEE1-FE28-4521-A0B8-CDDB647471B1}" name="Kod EAN" dataDxfId="554" totalsRowDxfId="553"/>
    <tableColumn id="12" xr3:uid="{EE948153-AA47-423D-9C87-EE880BC057CB}" name="Nazwa handlowa, dawka, postać , ilość w opakowaniu" dataDxfId="552" totalsRowDxfId="551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BD99F63-6E67-40BF-BFBE-BD296519CEAA}" name="Tabela52" displayName="Tabela52" ref="A8:L43" totalsRowCount="1" headerRowDxfId="550" dataDxfId="548" headerRowBorderDxfId="549" tableBorderDxfId="547" totalsRowBorderDxfId="546">
  <autoFilter ref="A8:L42" xr:uid="{130899A0-5238-436C-8610-1D3DDD213376}"/>
  <sortState ref="A9:L16">
    <sortCondition ref="B8:B16"/>
  </sortState>
  <tableColumns count="12">
    <tableColumn id="1" xr3:uid="{C89A9B69-F2BF-4C54-8C6C-807097C846D8}" name="L.p." totalsRowLabel="Suma" dataDxfId="545" totalsRowDxfId="544"/>
    <tableColumn id="2" xr3:uid="{0F648FA6-F014-4F6E-BFD2-5D27F638E03C}" name="Nazwa, postać, dawka" dataDxfId="543" totalsRowDxfId="542"/>
    <tableColumn id="3" xr3:uid="{3DD9B4A2-C64B-4EBD-B7AB-11315C9935B3}" name="j.m." dataDxfId="541" totalsRowDxfId="540"/>
    <tableColumn id="4" xr3:uid="{EE73194A-9834-49BA-91BA-39B850944824}" name="Ilość" dataDxfId="539" totalsRowDxfId="538"/>
    <tableColumn id="5" xr3:uid="{E5EB2D15-79BD-40E1-B312-B7EC5ABCA300}" name="C.j. netto" dataDxfId="537" totalsRowDxfId="536" dataCellStyle="Walutowy"/>
    <tableColumn id="6" xr3:uid="{1D887844-DACB-4474-9D52-213E06EB11A8}" name="Wartość netto" totalsRowFunction="sum" dataDxfId="535" totalsRowDxfId="534" dataCellStyle="Walutowy">
      <calculatedColumnFormula>Tabela52[[#This Row],[Ilość]]*Tabela52[[#This Row],[C.j. netto]]</calculatedColumnFormula>
    </tableColumn>
    <tableColumn id="7" xr3:uid="{D2C4EEEB-A6A9-4461-8B97-F0424314C041}" name="Stawka podatku VAT" dataDxfId="533" totalsRowDxfId="532"/>
    <tableColumn id="8" xr3:uid="{C86BC63F-29D2-4E89-8293-3BED5FAD1C23}" name="C.j. brutto" dataDxfId="531" totalsRowDxfId="530" dataCellStyle="Walutowy"/>
    <tableColumn id="9" xr3:uid="{EA3F91E1-1965-414F-A1D8-845248739FE5}" name="Wartość brutto" dataDxfId="529" totalsRowDxfId="528"/>
    <tableColumn id="10" xr3:uid="{E5942DA8-8A73-417A-8E7E-EC045D520439}" name="Producent " dataDxfId="527" totalsRowDxfId="526"/>
    <tableColumn id="11" xr3:uid="{34AA974C-8FE4-43B0-AB05-FC8DFEF96676}" name="Kod EAN" dataDxfId="525" totalsRowDxfId="524"/>
    <tableColumn id="12" xr3:uid="{1DEAB304-200E-4015-8C31-BBAF2C6B34C5}" name="Nazwa handlowa, dawka, postać , ilość w opakowaniu" dataDxfId="523" totalsRowDxfId="522"/>
  </tableColumns>
  <tableStyleInfo name="TableStyleMedium2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DE438D97-6CDE-49E1-AFE2-B266C1F3E8E8}" name="Tabela53" displayName="Tabela53" ref="A8:L12" totalsRowCount="1" headerRowDxfId="521" dataDxfId="519" headerRowBorderDxfId="520" tableBorderDxfId="518" totalsRowBorderDxfId="517">
  <autoFilter ref="A8:L11" xr:uid="{130899A0-5238-436C-8610-1D3DDD213376}"/>
  <tableColumns count="12">
    <tableColumn id="1" xr3:uid="{55DF1480-7897-4438-A0C6-A72BBBAA1604}" name="L.p." totalsRowLabel="Suma" dataDxfId="516" totalsRowDxfId="515"/>
    <tableColumn id="2" xr3:uid="{7A2A7657-5C0E-416F-96FF-FF1A82807EA2}" name="Nazwa, postać, dawka" dataDxfId="514" totalsRowDxfId="513"/>
    <tableColumn id="3" xr3:uid="{BC1E5B5A-DB0F-4AAE-A17B-1DAFB33A4699}" name="j.m." dataDxfId="512" totalsRowDxfId="511"/>
    <tableColumn id="4" xr3:uid="{1CB78CFE-AAFC-4148-9673-1BA7EFCC5056}" name="Ilość" dataDxfId="510" totalsRowDxfId="509"/>
    <tableColumn id="5" xr3:uid="{C1C1A8BB-1557-42E9-B45C-0823949443FF}" name="C.j. netto" dataDxfId="508" totalsRowDxfId="507" dataCellStyle="Walutowy"/>
    <tableColumn id="6" xr3:uid="{118A8A5D-6A2F-48F2-9E7C-A80848B47F5D}" name="Wartość netto" totalsRowFunction="sum" dataDxfId="506" totalsRowDxfId="505" dataCellStyle="Walutowy">
      <calculatedColumnFormula>Tabela53[[#This Row],[Ilość]]*Tabela53[[#This Row],[C.j. netto]]</calculatedColumnFormula>
    </tableColumn>
    <tableColumn id="7" xr3:uid="{4FDF7A07-D89E-4B2D-AEEB-6D767718BBF1}" name="Stawka podatku VAT" dataDxfId="504" totalsRowDxfId="503"/>
    <tableColumn id="8" xr3:uid="{8FC28FC8-2A25-4E36-96C9-1DB3579E16EA}" name="C.j. brutto" dataDxfId="502" totalsRowDxfId="501" dataCellStyle="Walutowy"/>
    <tableColumn id="9" xr3:uid="{4BF69D09-2F05-4F77-AC46-DAE75F9AE14A}" name="Wartość brutto" dataDxfId="500" totalsRowDxfId="499"/>
    <tableColumn id="10" xr3:uid="{3F02810B-9D8F-41F9-B6FC-2E24D5F064A3}" name="Producent " dataDxfId="498" totalsRowDxfId="497"/>
    <tableColumn id="11" xr3:uid="{D74D5F45-69F3-4064-809C-054B840C9D47}" name="Kod EAN" dataDxfId="496" totalsRowDxfId="495"/>
    <tableColumn id="12" xr3:uid="{785CD059-23E2-4C7B-ACA1-FB3C770DA133}" name="Nazwa handlowa, dawka, postać , ilość w opakowaniu" dataDxfId="494" totalsRowDxfId="493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73ACC4D6-23C0-4C8C-A1D5-E1E3542091D7}" name="Tabela54" displayName="Tabela54" ref="A8:L49" totalsRowCount="1" headerRowDxfId="492" dataDxfId="490" headerRowBorderDxfId="491" tableBorderDxfId="489" totalsRowBorderDxfId="488">
  <autoFilter ref="A8:L48" xr:uid="{130899A0-5238-436C-8610-1D3DDD213376}"/>
  <sortState ref="A9:L15">
    <sortCondition ref="B8:B15"/>
  </sortState>
  <tableColumns count="12">
    <tableColumn id="1" xr3:uid="{4BC608C5-A372-4B8D-A318-7BF79A82E1A2}" name="L.p." totalsRowLabel="Suma" dataDxfId="487" totalsRowDxfId="486"/>
    <tableColumn id="2" xr3:uid="{60FB6CD1-5E35-47D2-816D-FC044FF8BD4E}" name="Nazwa, postać, dawka" dataDxfId="485" totalsRowDxfId="484"/>
    <tableColumn id="3" xr3:uid="{7FFBAD73-793B-4732-8A1F-58E578FE35B8}" name="j.m." dataDxfId="483" totalsRowDxfId="482"/>
    <tableColumn id="4" xr3:uid="{28FBC330-BCB3-40DA-A134-4B86FB825188}" name="Ilość" dataDxfId="481" totalsRowDxfId="480"/>
    <tableColumn id="5" xr3:uid="{58F85568-BCA4-4D02-87B7-CD9056AB551E}" name="C.j. netto" dataDxfId="479" totalsRowDxfId="478" dataCellStyle="Walutowy"/>
    <tableColumn id="6" xr3:uid="{E89008C0-1199-45AA-87E9-7B2EAD58A114}" name="Wartość netto" totalsRowFunction="sum" dataDxfId="477" totalsRowDxfId="476" dataCellStyle="Walutowy">
      <calculatedColumnFormula>Tabela54[[#This Row],[Ilość]]*Tabela54[[#This Row],[C.j. netto]]</calculatedColumnFormula>
    </tableColumn>
    <tableColumn id="7" xr3:uid="{0022EB97-2A49-4E54-928D-9DA67CDC0C26}" name="Stawka podatku VAT" dataDxfId="475" totalsRowDxfId="474"/>
    <tableColumn id="8" xr3:uid="{AA6F9221-356B-4191-B3E3-ECC4F455D22E}" name="C.j. brutto" dataDxfId="473" totalsRowDxfId="472" dataCellStyle="Walutowy"/>
    <tableColumn id="9" xr3:uid="{6B7BFEC5-4C01-48C8-B275-D21A0760142A}" name="Wartość brutto" dataDxfId="471" totalsRowDxfId="470"/>
    <tableColumn id="10" xr3:uid="{CCC70C93-8984-4303-B97B-27AB1107574E}" name="Producent " dataDxfId="469" totalsRowDxfId="468"/>
    <tableColumn id="11" xr3:uid="{EAE4F397-5C01-4A22-B74D-0C0FDE4A8DAA}" name="Kod EAN" dataDxfId="467" totalsRowDxfId="466"/>
    <tableColumn id="12" xr3:uid="{D6F2C688-CDA4-44EA-B101-1239B2488040}" name="Nazwa handlowa, dawka, postać , ilość w opakowaniu" dataDxfId="465" totalsRowDxfId="464"/>
  </tableColumns>
  <tableStyleInfo name="TableStyleMedium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DF7C75D7-D6F9-4968-8BBF-9546E975B504}" name="Tabela55" displayName="Tabela55" ref="A8:L16" totalsRowCount="1" headerRowDxfId="463" dataDxfId="461" headerRowBorderDxfId="462" tableBorderDxfId="460" totalsRowBorderDxfId="459">
  <autoFilter ref="A8:L15" xr:uid="{130899A0-5238-436C-8610-1D3DDD213376}"/>
  <tableColumns count="12">
    <tableColumn id="1" xr3:uid="{14D69366-998D-4E39-9B75-EEBAF47B06FB}" name="L.p." totalsRowLabel="Suma" dataDxfId="458" totalsRowDxfId="457"/>
    <tableColumn id="2" xr3:uid="{210ADC5B-1E66-4B59-AF86-FE2A1E97E433}" name="Nazwa, postać, dawka" dataDxfId="456" totalsRowDxfId="455"/>
    <tableColumn id="3" xr3:uid="{C5873CA0-7801-4AA1-AB35-818F3A2FD0F8}" name="j.m." dataDxfId="454" totalsRowDxfId="453"/>
    <tableColumn id="4" xr3:uid="{786BB70B-3691-4D51-A28E-CEB7A9A75FF0}" name="Ilość" dataDxfId="452" totalsRowDxfId="451"/>
    <tableColumn id="5" xr3:uid="{605E440D-67CE-4EFC-B4A4-EEA6A032BEBD}" name="C.j. netto" dataDxfId="450" totalsRowDxfId="449" dataCellStyle="Walutowy"/>
    <tableColumn id="6" xr3:uid="{43C261FC-C553-45F6-83D3-18B8D21EDE84}" name="Wartość netto" totalsRowFunction="sum" dataDxfId="448" totalsRowDxfId="447" dataCellStyle="Walutowy">
      <calculatedColumnFormula>Tabela55[[#This Row],[Ilość]]*Tabela55[[#This Row],[C.j. netto]]</calculatedColumnFormula>
    </tableColumn>
    <tableColumn id="7" xr3:uid="{51FF235B-85C5-4099-AA2B-98107B7B2AD3}" name="Stawka podatku VAT" dataDxfId="446" totalsRowDxfId="445"/>
    <tableColumn id="8" xr3:uid="{6B92E30B-384B-45B4-B6E6-3D29943F70BC}" name="C.j. brutto" dataDxfId="444" totalsRowDxfId="443" dataCellStyle="Walutowy"/>
    <tableColumn id="9" xr3:uid="{4D1E6F0D-7919-46CC-9D7B-02E870564EC1}" name="Wartość brutto" dataDxfId="442" totalsRowDxfId="441"/>
    <tableColumn id="10" xr3:uid="{B26D7393-453A-47F5-9BC4-0EEF7DAFAF2F}" name="Producent " dataDxfId="440" totalsRowDxfId="439"/>
    <tableColumn id="11" xr3:uid="{A4223DC8-2D26-402D-8A0D-ABCED8F6FF2B}" name="Kod EAN" dataDxfId="438" totalsRowDxfId="437"/>
    <tableColumn id="12" xr3:uid="{6CA98F27-63D2-4E10-9A72-AEE5E91F1447}" name="Nazwa handlowa, dawka, postać , ilość w opakowaniu" dataDxfId="436" totalsRowDxfId="43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20FC8369-9C8C-496D-9E73-D606D0C9AC53}" name="Tabela56" displayName="Tabela56" ref="A8:L27" totalsRowCount="1" headerRowDxfId="434" dataDxfId="432" headerRowBorderDxfId="433" tableBorderDxfId="431" totalsRowBorderDxfId="430">
  <autoFilter ref="A8:L26" xr:uid="{130899A0-5238-436C-8610-1D3DDD213376}"/>
  <tableColumns count="12">
    <tableColumn id="1" xr3:uid="{75276F37-A5F0-41DD-9320-322D202E5E63}" name="L.p." totalsRowLabel="Suma" dataDxfId="429" totalsRowDxfId="428"/>
    <tableColumn id="2" xr3:uid="{70D53CDC-746C-44B2-912B-ADEF1C9E097A}" name="Nazwa, postać, dawka" dataDxfId="427" totalsRowDxfId="426"/>
    <tableColumn id="3" xr3:uid="{7B3179A6-0748-470E-A06C-A582956CC18C}" name="j.m." dataDxfId="425" totalsRowDxfId="424"/>
    <tableColumn id="4" xr3:uid="{1F4846CD-FCD2-40FC-892E-9B5F9967B480}" name="Ilość" dataDxfId="423" totalsRowDxfId="422"/>
    <tableColumn id="5" xr3:uid="{74FFFA13-DCD3-47EE-A9AD-AE4DF0927D5B}" name="C.j. netto" dataDxfId="421" totalsRowDxfId="420" dataCellStyle="Walutowy"/>
    <tableColumn id="6" xr3:uid="{662619AF-406A-4259-8894-B02F60CB3EEF}" name="Wartość netto" totalsRowFunction="sum" dataDxfId="419" totalsRowDxfId="418" dataCellStyle="Walutowy">
      <calculatedColumnFormula>Tabela56[[#This Row],[Ilość]]*Tabela56[[#This Row],[C.j. netto]]</calculatedColumnFormula>
    </tableColumn>
    <tableColumn id="7" xr3:uid="{7C6F1ECF-ED94-4432-A123-28CD9DE5621D}" name="Stawka podatku VAT" dataDxfId="417" totalsRowDxfId="416"/>
    <tableColumn id="8" xr3:uid="{4D768913-F3A3-4BFE-B700-8F3E80885E99}" name="C.j. brutto" dataDxfId="415" totalsRowDxfId="414" dataCellStyle="Walutowy"/>
    <tableColumn id="9" xr3:uid="{FCC31A2A-211F-4C0B-9115-3F1455A8AA86}" name="Wartość brutto" dataDxfId="413" totalsRowDxfId="412"/>
    <tableColumn id="10" xr3:uid="{F9B364BB-B64C-4893-8DE2-DCA42D7FCF1D}" name="Producent " dataDxfId="411" totalsRowDxfId="410"/>
    <tableColumn id="11" xr3:uid="{A1016CC1-7F2A-4D8B-80D1-DDDB468934B2}" name="Kod EAN" dataDxfId="409" totalsRowDxfId="408"/>
    <tableColumn id="12" xr3:uid="{0F38A8CC-FEAC-4B14-8872-5FB5CAC6C37D}" name="Nazwa handlowa, dawka, postać , ilość w opakowaniu" dataDxfId="407" totalsRowDxfId="406"/>
  </tableColumns>
  <tableStyleInfo name="TableStyleMedium2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1D0C9308-C60E-4785-9BBF-DC8462BE14CB}" name="Tabela57" displayName="Tabela57" ref="A8:L66" totalsRowCount="1" headerRowDxfId="405" dataDxfId="403" headerRowBorderDxfId="404" tableBorderDxfId="402" totalsRowBorderDxfId="401">
  <autoFilter ref="A8:L65" xr:uid="{130899A0-5238-436C-8610-1D3DDD213376}"/>
  <tableColumns count="12">
    <tableColumn id="1" xr3:uid="{8A540C07-0447-4C1C-A4D4-88B623166B31}" name="L.p." totalsRowLabel="Suma" dataDxfId="400" totalsRowDxfId="399"/>
    <tableColumn id="2" xr3:uid="{9EA0D96E-F51C-4B36-AC5C-E3E0E2879901}" name="Nazwa, postać, dawka" dataDxfId="398" totalsRowDxfId="397"/>
    <tableColumn id="3" xr3:uid="{733434AC-E5EE-4137-B569-4A27CA8EBFF5}" name="j.m." dataDxfId="396" totalsRowDxfId="395"/>
    <tableColumn id="4" xr3:uid="{6BAE5048-987D-4C6D-94D8-D05B79B31C2C}" name="Ilość" dataDxfId="394" totalsRowDxfId="393"/>
    <tableColumn id="5" xr3:uid="{91B96200-822D-47C0-88F7-C6CDE760950B}" name="C.j. netto" dataDxfId="392" totalsRowDxfId="391" dataCellStyle="Walutowy"/>
    <tableColumn id="6" xr3:uid="{9C32F0A1-1015-46DD-B3E1-548418A2619A}" name="Wartość netto" totalsRowFunction="sum" dataDxfId="390" totalsRowDxfId="389" dataCellStyle="Walutowy">
      <calculatedColumnFormula>Tabela57[[#This Row],[Ilość]]*Tabela57[[#This Row],[C.j. netto]]</calculatedColumnFormula>
    </tableColumn>
    <tableColumn id="7" xr3:uid="{248CF7CC-DB7D-4600-91D3-70CE0724A8F6}" name="Stawka podatku VAT" dataDxfId="388" totalsRowDxfId="387"/>
    <tableColumn id="8" xr3:uid="{5FC3F7AC-51CD-4E5D-9957-E82C89BE1E5F}" name="C.j. brutto" dataDxfId="386" totalsRowDxfId="385" dataCellStyle="Walutowy"/>
    <tableColumn id="9" xr3:uid="{423B0960-A72D-4480-AD76-B4409C7552DB}" name="Wartość brutto" dataDxfId="384" totalsRowDxfId="383"/>
    <tableColumn id="10" xr3:uid="{D398D588-E9A8-4B8A-825C-F7E951D55E32}" name="Producent " dataDxfId="382" totalsRowDxfId="381"/>
    <tableColumn id="11" xr3:uid="{709F765C-121B-46FD-84E8-1EDE0ECFF0B2}" name="Kod EAN" dataDxfId="380" totalsRowDxfId="379"/>
    <tableColumn id="12" xr3:uid="{414084E1-0307-441D-BD34-5FCED7A91C4E}" name="Nazwa handlowa, dawka, postać , ilość w opakowaniu" dataDxfId="378" totalsRowDxfId="37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AB666C82-5F85-4FF4-902D-FBDEFFA7DCEC}" name="Tabela58" displayName="Tabela58" ref="A8:L10" totalsRowCount="1" headerRowDxfId="376" dataDxfId="374" headerRowBorderDxfId="375" tableBorderDxfId="373" totalsRowBorderDxfId="372">
  <autoFilter ref="A8:L9" xr:uid="{130899A0-5238-436C-8610-1D3DDD213376}"/>
  <tableColumns count="12">
    <tableColumn id="1" xr3:uid="{AC3E89D1-AD95-4D21-BDA0-F79D5C1177CE}" name="L.p." totalsRowLabel="Suma" dataDxfId="371" totalsRowDxfId="370"/>
    <tableColumn id="2" xr3:uid="{FCD088FF-301D-42EF-AC7E-25FCE406C497}" name="Nazwa, postać, dawka" dataDxfId="369" totalsRowDxfId="368"/>
    <tableColumn id="3" xr3:uid="{810ABDEB-084C-4282-907A-2F28F3F9FB8C}" name="j.m." dataDxfId="367" totalsRowDxfId="366"/>
    <tableColumn id="4" xr3:uid="{D666DB16-683A-4471-A16B-B6F2C6AB6BA5}" name="Ilość" dataDxfId="365" totalsRowDxfId="364"/>
    <tableColumn id="5" xr3:uid="{33FBBD91-816D-4CC1-8F71-B05368B30A1D}" name="C.j. netto" dataDxfId="363" totalsRowDxfId="362" dataCellStyle="Walutowy"/>
    <tableColumn id="6" xr3:uid="{30D2398D-0FFB-4042-930F-5A28902A84E5}" name="Wartość netto" totalsRowFunction="sum" dataDxfId="361" totalsRowDxfId="360" dataCellStyle="Walutowy">
      <calculatedColumnFormula>Tabela58[[#This Row],[Ilość]]*Tabela58[[#This Row],[C.j. netto]]</calculatedColumnFormula>
    </tableColumn>
    <tableColumn id="7" xr3:uid="{78C7D11D-1962-4198-806B-A340BBC1A70D}" name="Stawka podatku VAT" dataDxfId="359" totalsRowDxfId="358"/>
    <tableColumn id="8" xr3:uid="{91292E3C-6872-4F3B-B89C-29226E185741}" name="C.j. brutto" dataDxfId="357" totalsRowDxfId="356" dataCellStyle="Walutowy"/>
    <tableColumn id="9" xr3:uid="{80735B9F-A777-4651-8F94-D7CE1D826504}" name="Wartość brutto" dataDxfId="355" totalsRowDxfId="354"/>
    <tableColumn id="10" xr3:uid="{D71CBF31-46C4-4271-8BDC-0CEAE3781D90}" name="Producent " dataDxfId="353" totalsRowDxfId="352"/>
    <tableColumn id="11" xr3:uid="{84923332-C8E8-408A-92EE-758C6ACE6B70}" name="Kod EAN" dataDxfId="351" totalsRowDxfId="350"/>
    <tableColumn id="12" xr3:uid="{1060EABD-5BDB-47B5-8B70-442B48ACE0C9}" name="Nazwa handlowa, dawka, postać , ilość w opakowaniu" dataDxfId="349" totalsRowDxfId="348"/>
  </tableColumns>
  <tableStyleInfo name="TableStyleMedium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13B5DC2C-0B33-45BA-A311-9ECD4ABCA484}" name="Tabela59" displayName="Tabela59" ref="A8:L12" totalsRowCount="1" headerRowDxfId="347" dataDxfId="345" headerRowBorderDxfId="346" tableBorderDxfId="344" totalsRowBorderDxfId="343">
  <autoFilter ref="A8:L11" xr:uid="{130899A0-5238-436C-8610-1D3DDD213376}"/>
  <tableColumns count="12">
    <tableColumn id="1" xr3:uid="{8A3CF357-2760-48C9-9C94-5D3F9FCF0D28}" name="L.p." totalsRowLabel="Suma" dataDxfId="342" totalsRowDxfId="341"/>
    <tableColumn id="2" xr3:uid="{218E7635-38B3-4100-B49B-6FD0764566C7}" name="Nazwa, postać, dawka" dataDxfId="340" totalsRowDxfId="339"/>
    <tableColumn id="3" xr3:uid="{E80DACCE-7D4B-45A3-A84D-513029122BA0}" name="j.m." dataDxfId="338" totalsRowDxfId="337"/>
    <tableColumn id="4" xr3:uid="{74DFF7D6-68F9-4CB6-B540-B71B790DA432}" name="Ilość" dataDxfId="336" totalsRowDxfId="335"/>
    <tableColumn id="5" xr3:uid="{C4E2B10F-B4EE-4F81-A1BF-2A569B2F6DBD}" name="C.j. netto" dataDxfId="334" totalsRowDxfId="333"/>
    <tableColumn id="6" xr3:uid="{EBC6D458-A509-468B-B8EB-D68BB36D9120}" name="Wartość netto" totalsRowFunction="sum" dataDxfId="332" totalsRowDxfId="331">
      <calculatedColumnFormula>Tabela59[[#This Row],[Ilość]]*Tabela59[[#This Row],[C.j. netto]]</calculatedColumnFormula>
    </tableColumn>
    <tableColumn id="7" xr3:uid="{503081E7-E965-43F9-B4BB-FFC8F50AF36D}" name="Stawka podatku VAT" dataDxfId="330" totalsRowDxfId="329"/>
    <tableColumn id="8" xr3:uid="{A352B765-30DD-4814-97F4-995F2CE838BB}" name="C.j. brutto" dataDxfId="328" totalsRowDxfId="327" dataCellStyle="Walutowy"/>
    <tableColumn id="9" xr3:uid="{C6D1B64F-5FBE-4DC4-9576-E13D9B774E4A}" name="Wartość brutto" dataDxfId="326" totalsRowDxfId="325"/>
    <tableColumn id="10" xr3:uid="{4784774F-E1AD-48AC-A79E-6C39A6923518}" name="Producent " dataDxfId="324" totalsRowDxfId="323"/>
    <tableColumn id="11" xr3:uid="{CEE477AD-BA64-4869-A3B6-4217F4F5EC4F}" name="Kod EAN" dataDxfId="322" totalsRowDxfId="321"/>
    <tableColumn id="12" xr3:uid="{7FD4AD9E-6F06-4380-AAEA-4C6311B02607}" name="Nazwa handlowa, dawka, postać , ilość w opakowaniu" dataDxfId="320" totalsRowDxfId="31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5F7DAE20-D164-4456-94FC-C19DD8D51FDC}" name="Tabela6" displayName="Tabela6" ref="A8:L15" totalsRowCount="1" headerRowDxfId="1850" dataDxfId="1848" totalsRowDxfId="1846" headerRowBorderDxfId="1849" tableBorderDxfId="1847" totalsRowBorderDxfId="1845">
  <autoFilter ref="A8:L14" xr:uid="{130899A0-5238-436C-8610-1D3DDD213376}"/>
  <tableColumns count="12">
    <tableColumn id="1" xr3:uid="{A9F460E1-B699-40EA-8C07-21A68F06738F}" name="L.p." totalsRowLabel="Suma" dataDxfId="1844" totalsRowDxfId="1843"/>
    <tableColumn id="2" xr3:uid="{F1E6719D-C3B7-4913-9627-D41FCCBD9517}" name="Nazwa, postać, dawka" dataDxfId="1842" totalsRowDxfId="1841"/>
    <tableColumn id="3" xr3:uid="{8C29E715-8452-485D-B70A-6B356C23688E}" name="j.m." dataDxfId="1840" totalsRowDxfId="1839"/>
    <tableColumn id="4" xr3:uid="{38D4BAE5-9E06-4247-AFFD-943F0DFDA266}" name="Ilość" dataDxfId="1838" totalsRowDxfId="1837"/>
    <tableColumn id="5" xr3:uid="{66AC24E6-EDA3-4D2F-86D5-5033AB8A5ED6}" name="C.j. netto" dataDxfId="1836" totalsRowDxfId="1835" dataCellStyle="Walutowy"/>
    <tableColumn id="6" xr3:uid="{F30182CA-07D6-48CF-BB42-6A3298251968}" name="Wartość netto" totalsRowFunction="sum" dataDxfId="1834" totalsRowDxfId="1833" dataCellStyle="Walutowy">
      <calculatedColumnFormula>Tabela6[[#This Row],[Ilość]]*Tabela6[[#This Row],[C.j. netto]]</calculatedColumnFormula>
    </tableColumn>
    <tableColumn id="7" xr3:uid="{45A9C36E-CC5E-4767-8915-51C1A86A7280}" name="Stawka podatku VAT" dataDxfId="1832" totalsRowDxfId="1831"/>
    <tableColumn id="8" xr3:uid="{59915DFD-556D-4309-A0CF-591CD445B967}" name="C.j. brutto" dataDxfId="1830" totalsRowDxfId="1829" dataCellStyle="Walutowy"/>
    <tableColumn id="9" xr3:uid="{EDAD6C5B-7F33-44EC-B542-E4FFF5D6ADB5}" name="Wartość brutto" dataDxfId="1828" totalsRowDxfId="1827"/>
    <tableColumn id="10" xr3:uid="{8F68A0EF-3150-4407-BD85-387F27AA5B1A}" name="Producent " dataDxfId="1826" totalsRowDxfId="1825"/>
    <tableColumn id="11" xr3:uid="{8B1B8A2B-306F-4CB1-B294-828AECE4563B}" name="Kod EAN" dataDxfId="1824" totalsRowDxfId="1823"/>
    <tableColumn id="12" xr3:uid="{4AC296D5-125B-4998-BB8A-2FF677C0AF90}" name="Nazwa handlowa, dawka, postać , ilość w opakowaniu" dataDxfId="1822" totalsRowDxfId="1821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13795F5C-C923-4445-A39C-9A061A50CE72}" name="Tabela60" displayName="Tabela60" ref="A8:L10" totalsRowCount="1" headerRowDxfId="318" dataDxfId="316" headerRowBorderDxfId="317" tableBorderDxfId="315" totalsRowBorderDxfId="314">
  <autoFilter ref="A8:L9" xr:uid="{130899A0-5238-436C-8610-1D3DDD213376}"/>
  <tableColumns count="12">
    <tableColumn id="1" xr3:uid="{609AC466-76E5-4464-A894-7FE8B295B3CF}" name="L.p." totalsRowLabel="Suma" dataDxfId="313" totalsRowDxfId="312"/>
    <tableColumn id="2" xr3:uid="{8722810E-42AF-4F4C-AC62-E101463D3567}" name="Nazwa, postać, dawka" dataDxfId="311" totalsRowDxfId="310"/>
    <tableColumn id="3" xr3:uid="{EFE3FA33-FE0B-4E47-930D-6623C84BDFC3}" name="j.m." dataDxfId="309" totalsRowDxfId="308"/>
    <tableColumn id="4" xr3:uid="{59CA0842-474E-4684-A367-68A243AD43EA}" name="Ilość" dataDxfId="307" totalsRowDxfId="306"/>
    <tableColumn id="5" xr3:uid="{C3F4C585-5DC0-41B8-9F14-09B2379482FB}" name="C.j. netto" dataDxfId="305" totalsRowDxfId="304" dataCellStyle="Walutowy"/>
    <tableColumn id="6" xr3:uid="{783BB037-4E69-4A1D-AF26-B72DFD48A137}" name="Wartość netto" totalsRowFunction="sum" dataDxfId="303" totalsRowDxfId="302" dataCellStyle="Walutowy">
      <calculatedColumnFormula>Tabela60[[#This Row],[Ilość]]*Tabela60[[#This Row],[C.j. netto]]</calculatedColumnFormula>
    </tableColumn>
    <tableColumn id="7" xr3:uid="{AAEF0051-EA19-49F2-BCA0-74C334F2717A}" name="Stawka podatku VAT" dataDxfId="301" totalsRowDxfId="300"/>
    <tableColumn id="8" xr3:uid="{8A56734D-D8DE-4EE8-8F71-F9B60DAFA784}" name="C.j. brutto" dataDxfId="299" totalsRowDxfId="298" dataCellStyle="Walutowy"/>
    <tableColumn id="9" xr3:uid="{387D58EE-2844-4825-8C61-1AD5F97250B6}" name="Wartość brutto" dataDxfId="297" totalsRowDxfId="296"/>
    <tableColumn id="10" xr3:uid="{7BB8242F-7CFF-4945-8953-9C728BEE3B76}" name="Producent " dataDxfId="295" totalsRowDxfId="294"/>
    <tableColumn id="11" xr3:uid="{9AFA2198-6150-4862-BC6B-7908F0EBC706}" name="Kod EAN" dataDxfId="293" totalsRowDxfId="292"/>
    <tableColumn id="12" xr3:uid="{33997245-8AEE-4FE1-BF03-C1FF0207BEB3}" name="Nazwa handlowa, dawka, postać , ilość w opakowaniu" dataDxfId="291" totalsRowDxfId="290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A3A5AD35-08D0-457D-8ECB-FD5F1859CDDF}" name="Tabela61" displayName="Tabela61" ref="A8:L10" totalsRowCount="1" headerRowDxfId="289" dataDxfId="287" headerRowBorderDxfId="288" tableBorderDxfId="286" totalsRowBorderDxfId="285">
  <autoFilter ref="A8:L9" xr:uid="{130899A0-5238-436C-8610-1D3DDD213376}"/>
  <tableColumns count="12">
    <tableColumn id="1" xr3:uid="{1DA2595A-D5CB-49B7-8C8D-99CEEE399085}" name="L.p." totalsRowLabel="Suma" dataDxfId="284" totalsRowDxfId="283"/>
    <tableColumn id="2" xr3:uid="{5B276EF4-8611-4175-AE11-61D176D1E597}" name="Nazwa, postać, dawka" dataDxfId="282" totalsRowDxfId="281"/>
    <tableColumn id="3" xr3:uid="{6A366C1D-3304-4A52-A5DA-202C2FF0C0AF}" name="j.m." dataDxfId="280" totalsRowDxfId="279"/>
    <tableColumn id="4" xr3:uid="{35727B4B-9D56-4AF8-8118-BD959702AED7}" name="Ilość" dataDxfId="278" totalsRowDxfId="277"/>
    <tableColumn id="5" xr3:uid="{C2BE9187-5D26-4DAE-8F98-FE79A4878240}" name="C.j. netto" dataDxfId="276" totalsRowDxfId="275" dataCellStyle="Walutowy"/>
    <tableColumn id="6" xr3:uid="{68424AF2-3A26-4240-8BEE-FA3E7055B5E6}" name="Wartość netto" totalsRowFunction="sum" dataDxfId="274" totalsRowDxfId="273" dataCellStyle="Walutowy">
      <calculatedColumnFormula>Tabela61[[#This Row],[Ilość]]*Tabela61[[#This Row],[C.j. netto]]</calculatedColumnFormula>
    </tableColumn>
    <tableColumn id="7" xr3:uid="{2C9912DD-5AC3-4ABD-98D6-77C53FB003AA}" name="Stawka podatku VAT" dataDxfId="272" totalsRowDxfId="271"/>
    <tableColumn id="8" xr3:uid="{4D4E3D8B-59F4-4D88-8882-55552F147A65}" name="C.j. brutto" dataDxfId="270" totalsRowDxfId="269" dataCellStyle="Walutowy"/>
    <tableColumn id="9" xr3:uid="{4D47918B-67B6-411E-804A-7D34FFD785E2}" name="Wartość brutto" dataDxfId="268" totalsRowDxfId="267"/>
    <tableColumn id="10" xr3:uid="{9FB4811D-16DC-4973-B9D8-B69B8DA24F77}" name="Producent " dataDxfId="266" totalsRowDxfId="265"/>
    <tableColumn id="11" xr3:uid="{E981E335-2DBB-4041-A7C5-D597907A405C}" name="Kod EAN" dataDxfId="264" totalsRowDxfId="263"/>
    <tableColumn id="12" xr3:uid="{3DB4796B-6CA7-4498-ACAC-D2F7D5CF3FF8}" name="Nazwa handlowa, dawka, postać , ilość w opakowaniu" dataDxfId="262" totalsRowDxfId="261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98A3FAAE-BE80-4B1C-A1F9-0FC76911D78C}" name="Tabela62" displayName="Tabela62" ref="A8:L10" totalsRowCount="1" headerRowDxfId="260" dataDxfId="258" headerRowBorderDxfId="259" tableBorderDxfId="257" totalsRowBorderDxfId="256">
  <autoFilter ref="A8:L9" xr:uid="{130899A0-5238-436C-8610-1D3DDD213376}"/>
  <tableColumns count="12">
    <tableColumn id="1" xr3:uid="{E6EC5F8E-4EFB-4A30-96B8-BF1CBC9423AD}" name="L.p." totalsRowLabel="Suma" dataDxfId="255" totalsRowDxfId="254"/>
    <tableColumn id="2" xr3:uid="{E6801610-400F-4104-9829-0AD3B4B04D5D}" name="Nazwa, postać, dawka" dataDxfId="253" totalsRowDxfId="252"/>
    <tableColumn id="3" xr3:uid="{43DD3F21-6BAC-4192-9138-84831182FE5F}" name="j.m." dataDxfId="251" totalsRowDxfId="250"/>
    <tableColumn id="4" xr3:uid="{BA99F71F-0107-4727-96C1-A0B0AA414207}" name="Ilość" dataDxfId="249" totalsRowDxfId="248"/>
    <tableColumn id="5" xr3:uid="{AAD10277-4482-4E38-B596-3CF6D3A8E8A9}" name="C.j. netto" dataDxfId="247" totalsRowDxfId="246" dataCellStyle="Walutowy"/>
    <tableColumn id="6" xr3:uid="{E79C66C8-6277-42FA-A166-70D254A88481}" name="Wartość netto" totalsRowFunction="sum" dataDxfId="245" totalsRowDxfId="244" dataCellStyle="Walutowy">
      <calculatedColumnFormula>Tabela62[[#This Row],[Ilość]]*Tabela62[[#This Row],[C.j. netto]]</calculatedColumnFormula>
    </tableColumn>
    <tableColumn id="7" xr3:uid="{B3638A05-944B-4058-ABED-A504768A2725}" name="Stawka podatku VAT" dataDxfId="243" totalsRowDxfId="242"/>
    <tableColumn id="8" xr3:uid="{29E7F50B-BC65-4F5A-A3D8-C4E1B8F7FDEF}" name="C.j. brutto" dataDxfId="241" totalsRowDxfId="240" dataCellStyle="Walutowy"/>
    <tableColumn id="9" xr3:uid="{EF7628D8-5451-4959-8E88-9264035041AA}" name="Wartość brutto" dataDxfId="239" totalsRowDxfId="238"/>
    <tableColumn id="10" xr3:uid="{D322327D-8A6C-4235-9210-3C1DCF506159}" name="Producent " dataDxfId="237" totalsRowDxfId="236"/>
    <tableColumn id="11" xr3:uid="{2640ED03-9AFB-4B04-99CD-01EB4A457A15}" name="Kod EAN" dataDxfId="235" totalsRowDxfId="234"/>
    <tableColumn id="12" xr3:uid="{22EFB985-9980-4D9D-9A18-275AB1014CA2}" name="Nazwa handlowa, dawka, postać , ilość w opakowaniu" dataDxfId="233" totalsRowDxfId="23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FC7FE1B1-7261-4CA4-8536-8841EA96755F}" name="Tabela63" displayName="Tabela63" ref="A8:L14" totalsRowCount="1" headerRowDxfId="231" dataDxfId="229" headerRowBorderDxfId="230" tableBorderDxfId="228" totalsRowBorderDxfId="227">
  <autoFilter ref="A8:L13" xr:uid="{130899A0-5238-436C-8610-1D3DDD213376}"/>
  <tableColumns count="12">
    <tableColumn id="1" xr3:uid="{6C703F1E-AFB8-4717-B558-A6EEDF5CFCF2}" name="L.p." totalsRowLabel="Suma" dataDxfId="226" totalsRowDxfId="225"/>
    <tableColumn id="2" xr3:uid="{1A04DD90-9E1C-48D5-BFB4-3AE15675C64C}" name="Nazwa, postać, dawka" dataDxfId="224" totalsRowDxfId="223"/>
    <tableColumn id="3" xr3:uid="{548333DD-FD3A-4692-868D-740E79B9D566}" name="j.m." dataDxfId="222" totalsRowDxfId="221"/>
    <tableColumn id="4" xr3:uid="{CC048B8D-5638-4772-8B07-C47BA039E613}" name="Ilość" dataDxfId="220" totalsRowDxfId="219"/>
    <tableColumn id="5" xr3:uid="{12483FF0-BA81-40A0-96FD-156174F292CF}" name="C.j. netto" dataDxfId="218" totalsRowDxfId="217"/>
    <tableColumn id="6" xr3:uid="{5EC6BE71-C2FD-4B33-A763-068CC217EBEE}" name="Wartość netto" totalsRowFunction="sum" dataDxfId="216" totalsRowDxfId="215">
      <calculatedColumnFormula>Tabela63[[#This Row],[Ilość]]*Tabela63[[#This Row],[C.j. netto]]</calculatedColumnFormula>
    </tableColumn>
    <tableColumn id="7" xr3:uid="{B952CBCB-A090-42CF-B885-19A6D83734AD}" name="Stawka podatku VAT" dataDxfId="214" totalsRowDxfId="213"/>
    <tableColumn id="8" xr3:uid="{326CBCFD-EE4F-43A9-A255-203B89576E5D}" name="C.j. brutto" dataDxfId="212" totalsRowDxfId="211" dataCellStyle="Walutowy"/>
    <tableColumn id="9" xr3:uid="{401D5875-B3AC-41EA-AC1A-49F4B9967789}" name="Wartość brutto" dataDxfId="210" totalsRowDxfId="209"/>
    <tableColumn id="10" xr3:uid="{5B357015-06B4-4753-9731-AB8511157706}" name="Producent " dataDxfId="208" totalsRowDxfId="207"/>
    <tableColumn id="11" xr3:uid="{EB051D32-F731-43D1-87F3-963216AB8DAE}" name="Kod EAN" dataDxfId="206" totalsRowDxfId="205"/>
    <tableColumn id="12" xr3:uid="{AA00775B-3F65-44E1-B581-BD2511A2D8A7}" name="Nazwa handlowa, dawka, postać , ilość w opakowaniu" dataDxfId="204" totalsRowDxfId="203"/>
  </tableColumns>
  <tableStyleInfo name="TableStyleMedium2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1F6D192E-B68B-41CC-940B-A5BCEC047561}" name="Tabela64" displayName="Tabela64" ref="A8:L11" totalsRowCount="1" headerRowDxfId="202" dataDxfId="200" headerRowBorderDxfId="201" tableBorderDxfId="199" totalsRowBorderDxfId="198">
  <autoFilter ref="A8:L10" xr:uid="{130899A0-5238-436C-8610-1D3DDD213376}"/>
  <tableColumns count="12">
    <tableColumn id="1" xr3:uid="{79CC9AD9-A5BE-430C-92DD-44F7D2A8D65A}" name="L.p." totalsRowLabel="Suma" dataDxfId="197" totalsRowDxfId="196"/>
    <tableColumn id="2" xr3:uid="{4450D8E1-F254-4E8E-B495-55E4A69BF784}" name="Nazwa, postać, dawka" dataDxfId="195" totalsRowDxfId="194"/>
    <tableColumn id="3" xr3:uid="{A25CC37E-DD44-4580-BE52-212C8CE4655A}" name="j.m." dataDxfId="193" totalsRowDxfId="192"/>
    <tableColumn id="4" xr3:uid="{BF33DFCB-1603-48B0-AA3A-59235CC73901}" name="Ilość" dataDxfId="191" totalsRowDxfId="190"/>
    <tableColumn id="5" xr3:uid="{996414B2-6F58-4D2B-909E-094141FB3C3B}" name="C.j. netto" dataDxfId="189" totalsRowDxfId="188"/>
    <tableColumn id="6" xr3:uid="{475984A8-4A1A-40CA-91FB-E8F4A0864BC8}" name="Wartość netto" totalsRowFunction="sum" dataDxfId="187" totalsRowDxfId="186">
      <calculatedColumnFormula>Tabela64[[#This Row],[Ilość]]*Tabela64[[#This Row],[C.j. netto]]</calculatedColumnFormula>
    </tableColumn>
    <tableColumn id="7" xr3:uid="{9E972F77-8390-46EA-9C2A-172156D1DFC5}" name="Stawka podatku VAT" dataDxfId="185" totalsRowDxfId="184"/>
    <tableColumn id="8" xr3:uid="{6AF3CFFD-4781-44BD-AF86-141E725FBB64}" name="C.j. brutto" dataDxfId="183" totalsRowDxfId="182" dataCellStyle="Walutowy"/>
    <tableColumn id="9" xr3:uid="{3EAFB9A7-E5BC-4E72-84D9-954399AFE34D}" name="Wartość brutto" dataDxfId="181" totalsRowDxfId="180"/>
    <tableColumn id="10" xr3:uid="{0481FEFC-CAF1-4DFC-9E3E-5EC71865341C}" name="Producent " dataDxfId="179" totalsRowDxfId="178"/>
    <tableColumn id="11" xr3:uid="{20AC994D-1544-45F9-8A8D-406D11AD4EDA}" name="Kod EAN" dataDxfId="177" totalsRowDxfId="176"/>
    <tableColumn id="12" xr3:uid="{2171B00B-B840-4FB5-8ECA-D04A4CB20EF0}" name="Nazwa handlowa, dawka, postać , ilość w opakowaniu" dataDxfId="175" totalsRowDxfId="174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5B65C06F-5A28-4BC2-98E2-91B573027400}" name="Tabela65" displayName="Tabela65" ref="A8:L10" totalsRowCount="1" headerRowDxfId="173" dataDxfId="171" headerRowBorderDxfId="172" tableBorderDxfId="170" totalsRowBorderDxfId="169">
  <autoFilter ref="A8:L9" xr:uid="{130899A0-5238-436C-8610-1D3DDD213376}"/>
  <tableColumns count="12">
    <tableColumn id="1" xr3:uid="{D30A8149-5984-472B-8DE7-A9F4A62BD841}" name="L.p." dataDxfId="168" totalsRowDxfId="167"/>
    <tableColumn id="2" xr3:uid="{852C81B6-00C8-432F-B694-66510098EA98}" name="Nazwa, postać, dawka" dataDxfId="166" totalsRowDxfId="165"/>
    <tableColumn id="3" xr3:uid="{5DF4937A-25E9-48E2-91F8-C91CFD3800C9}" name="j.m." dataDxfId="164" totalsRowDxfId="163"/>
    <tableColumn id="4" xr3:uid="{19F2C880-9E15-458F-9643-59485244CA1F}" name="Ilość" dataDxfId="162" totalsRowDxfId="161"/>
    <tableColumn id="5" xr3:uid="{145388A7-4E5F-49D1-A5AD-D5824E080AF4}" name="C.j. netto" dataDxfId="160" totalsRowDxfId="159" dataCellStyle="Walutowy"/>
    <tableColumn id="6" xr3:uid="{6803CA3B-37CE-4509-8838-3623F4CB8F20}" name="Wartość netto" totalsRowFunction="sum" dataDxfId="158" totalsRowDxfId="157" dataCellStyle="Walutowy">
      <calculatedColumnFormula>Tabela65[[#This Row],[Ilość]]*Tabela65[[#This Row],[C.j. netto]]</calculatedColumnFormula>
    </tableColumn>
    <tableColumn id="7" xr3:uid="{6BCE88C1-ED0E-4727-B9FD-6335DEEA4FA3}" name="Stawka podatku VAT" dataDxfId="156" totalsRowDxfId="155"/>
    <tableColumn id="8" xr3:uid="{C7DA392F-5B23-45F8-AA47-99BA22601C24}" name="C.j. brutto" dataDxfId="154" totalsRowDxfId="153" dataCellStyle="Walutowy"/>
    <tableColumn id="9" xr3:uid="{16835E7E-E854-4A2C-941E-EDD94AA7F7C6}" name="Wartość brutto" dataDxfId="152" totalsRowDxfId="151"/>
    <tableColumn id="10" xr3:uid="{F490D1F7-0114-425B-B70A-0ACC0BBBA1B3}" name="Producent " dataDxfId="150" totalsRowDxfId="149"/>
    <tableColumn id="11" xr3:uid="{DAC5C06F-E597-4941-BB17-E793A50D48F0}" name="Kod EAN" dataDxfId="148" totalsRowDxfId="147"/>
    <tableColumn id="12" xr3:uid="{D0FC1441-46F9-41A0-B6A1-8B24AE3C578E}" name="Nazwa handlowa, dawka, postać , ilość w opakowaniu" dataDxfId="146" totalsRowDxfId="145"/>
  </tableColumns>
  <tableStyleInfo name="TableStyleMedium2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ADE54630-7FB2-49B5-A9FB-92D20E77EBA2}" name="Tabela66" displayName="Tabela66" ref="A8:L10" totalsRowCount="1" headerRowDxfId="144" dataDxfId="142" headerRowBorderDxfId="143" tableBorderDxfId="141" totalsRowBorderDxfId="140">
  <autoFilter ref="A8:L9" xr:uid="{130899A0-5238-436C-8610-1D3DDD213376}"/>
  <tableColumns count="12">
    <tableColumn id="1" xr3:uid="{65134517-48C7-4F89-B7C6-7323936A447B}" name="L.p." dataDxfId="139" totalsRowDxfId="138"/>
    <tableColumn id="2" xr3:uid="{F2DD6D0B-A12E-4418-AA69-BECD85EC186D}" name="Nazwa, postać, dawka" dataDxfId="137" totalsRowDxfId="136"/>
    <tableColumn id="3" xr3:uid="{D7897D38-9604-4587-BC27-172204D0C3DE}" name="j.m." dataDxfId="135" totalsRowDxfId="134"/>
    <tableColumn id="4" xr3:uid="{4D0F4E24-2161-418A-AEF9-DFAEB4D6B40C}" name="Ilość" dataDxfId="133" totalsRowDxfId="132"/>
    <tableColumn id="5" xr3:uid="{9245991B-8DD0-4CB9-ABFD-886363055D3B}" name="C.j. netto" dataDxfId="131" totalsRowDxfId="130"/>
    <tableColumn id="6" xr3:uid="{26545251-D92D-453A-B57A-6860277AF73E}" name="Wartość netto" totalsRowFunction="sum" dataDxfId="129" totalsRowDxfId="128" dataCellStyle="Walutowy">
      <calculatedColumnFormula>Tabela66[[#This Row],[C.j. netto]]*Tabela66[[#This Row],[Ilość]]</calculatedColumnFormula>
    </tableColumn>
    <tableColumn id="7" xr3:uid="{D000274A-71D0-43E7-AD52-A37E0473954F}" name="Stawka podatku VAT" dataDxfId="127" totalsRowDxfId="126"/>
    <tableColumn id="8" xr3:uid="{9F2778E5-2898-4F70-B1B2-A334ED646116}" name="C.j. brutto" dataDxfId="125" totalsRowDxfId="124" dataCellStyle="Walutowy"/>
    <tableColumn id="9" xr3:uid="{4F27EB2C-B3DD-4213-92E9-8A4188929C6B}" name="Wartość brutto" dataDxfId="123" totalsRowDxfId="122"/>
    <tableColumn id="10" xr3:uid="{A2B953AD-3736-4813-93A6-CCEF72EFBB32}" name="Producent " dataDxfId="121" totalsRowDxfId="120"/>
    <tableColumn id="11" xr3:uid="{9876A4D6-1E9B-45C9-A99C-DC3A56791818}" name="Kod EAN" dataDxfId="119" totalsRowDxfId="118"/>
    <tableColumn id="12" xr3:uid="{380E1E8A-3F3C-4104-87AD-118FA7A08149}" name="Nazwa handlowa, dawka, postać , ilość w opakowaniu" dataDxfId="117" totalsRowDxfId="116"/>
  </tableColumns>
  <tableStyleInfo name="TableStyleMedium2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8F689AF7-BE24-4749-87E6-023CCAA86BEC}" name="Tabela67" displayName="Tabela67" ref="A8:L14" totalsRowCount="1" headerRowDxfId="115" dataDxfId="113" headerRowBorderDxfId="114" tableBorderDxfId="112" totalsRowBorderDxfId="111">
  <autoFilter ref="A8:L13" xr:uid="{130899A0-5238-436C-8610-1D3DDD213376}"/>
  <tableColumns count="12">
    <tableColumn id="1" xr3:uid="{544C1ECF-22D2-4708-86EB-81475361E191}" name="L.p." totalsRowLabel="Suma" dataDxfId="110" totalsRowDxfId="109"/>
    <tableColumn id="2" xr3:uid="{69500494-F3AA-4FF9-A65E-370F7AACE4A2}" name="Nazwa, postać, dawka" dataDxfId="108" totalsRowDxfId="107"/>
    <tableColumn id="3" xr3:uid="{F8643358-6A60-4A2E-B695-F19E92573392}" name="j.m." dataDxfId="106" totalsRowDxfId="105"/>
    <tableColumn id="4" xr3:uid="{5CEE1911-F7B9-4190-9B55-48274B5AE8C6}" name="Ilość" dataDxfId="104" totalsRowDxfId="103"/>
    <tableColumn id="5" xr3:uid="{5F9B043F-F3EA-4CB7-93F3-BF842641DBCA}" name="C.j. netto" dataDxfId="102" totalsRowDxfId="101" dataCellStyle="Walutowy"/>
    <tableColumn id="6" xr3:uid="{10C7F8DA-E49B-472C-A9A1-D8912C26181E}" name="Wartość netto" totalsRowFunction="sum" dataDxfId="100" totalsRowDxfId="99" dataCellStyle="Walutowy">
      <calculatedColumnFormula>Tabela67[[#This Row],[Ilość]]*Tabela67[[#This Row],[C.j. netto]]</calculatedColumnFormula>
    </tableColumn>
    <tableColumn id="7" xr3:uid="{06826300-9ADE-4926-A023-4BC2A53D9F5A}" name="Stawka podatku VAT" dataDxfId="98" totalsRowDxfId="97"/>
    <tableColumn id="8" xr3:uid="{D0B09613-62BD-4B79-BEA0-8B9EB70BD13C}" name="C.j. brutto" dataDxfId="96" totalsRowDxfId="95" dataCellStyle="Walutowy"/>
    <tableColumn id="9" xr3:uid="{4C6B4BCB-E5B9-4D21-BCBE-D57139E9AF9A}" name="Wartość brutto" dataDxfId="94" totalsRowDxfId="93"/>
    <tableColumn id="10" xr3:uid="{99CE9A27-1582-4FC9-9BD7-4F7F70BFFD7E}" name="Producent " dataDxfId="92" totalsRowDxfId="91"/>
    <tableColumn id="11" xr3:uid="{73B81741-6FEB-4F52-8B62-632F2DA8E72F}" name="Kod EAN" dataDxfId="90" totalsRowDxfId="89"/>
    <tableColumn id="12" xr3:uid="{0B74E56B-F02E-4A78-B903-39A1AC88CBEC}" name="Nazwa handlowa, dawka, postać , ilość w opakowaniu" dataDxfId="88" totalsRowDxfId="87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4554DBB3-1151-46B0-AEE9-CB9413C487FD}" name="Tabela68" displayName="Tabela68" ref="A8:L10" totalsRowCount="1" headerRowDxfId="86" dataDxfId="84" headerRowBorderDxfId="85" tableBorderDxfId="83" totalsRowBorderDxfId="82">
  <autoFilter ref="A8:L9" xr:uid="{130899A0-5238-436C-8610-1D3DDD213376}"/>
  <tableColumns count="12">
    <tableColumn id="1" xr3:uid="{FEAC8F71-C4C1-4E1D-B9E4-836EC22FFE1E}" name="L.p." dataDxfId="81" totalsRowDxfId="80"/>
    <tableColumn id="2" xr3:uid="{CF013D6A-3F96-4B22-8BC7-A890B53186D1}" name="Nazwa, postać, dawka" dataDxfId="79" totalsRowDxfId="78"/>
    <tableColumn id="3" xr3:uid="{221F7263-E6CB-4DE9-8445-19C70ADF58E1}" name="j.m." dataDxfId="77" totalsRowDxfId="76"/>
    <tableColumn id="4" xr3:uid="{1C32C831-ECD7-4947-8C9F-226C6CC56D83}" name="Ilość" dataDxfId="75" totalsRowDxfId="74"/>
    <tableColumn id="5" xr3:uid="{D3DE8384-800D-43B2-B21A-CE5336883D3D}" name="C.j. netto" dataDxfId="73" totalsRowDxfId="72"/>
    <tableColumn id="6" xr3:uid="{BF3FFE20-11BF-49E5-810A-602F46D5BE7E}" name="Wartość netto" totalsRowFunction="sum" dataDxfId="71" totalsRowDxfId="70">
      <calculatedColumnFormula>Tabela68[[#This Row],[Ilość]]*Tabela68[[#This Row],[C.j. netto]]</calculatedColumnFormula>
    </tableColumn>
    <tableColumn id="7" xr3:uid="{172BF15A-8C95-4DFD-8016-CF9641B15756}" name="Stawka podatku VAT" dataDxfId="69" totalsRowDxfId="68"/>
    <tableColumn id="8" xr3:uid="{513F1FFB-F618-46E2-BBBC-CB65CE6E5035}" name="C.j. brutto" dataDxfId="67" totalsRowDxfId="66" dataCellStyle="Walutowy"/>
    <tableColumn id="9" xr3:uid="{5A2341C3-490B-4DCE-9C6E-96CC45DD1C8A}" name="Wartość brutto" dataDxfId="65" totalsRowDxfId="64"/>
    <tableColumn id="10" xr3:uid="{5C138168-A7F4-4618-B15A-4C43BA4EE6C1}" name="Producent " dataDxfId="63" totalsRowDxfId="62"/>
    <tableColumn id="11" xr3:uid="{A633846E-3AB0-4AB6-A3DD-8DFC721DD915}" name="Kod EAN" dataDxfId="61" totalsRowDxfId="60"/>
    <tableColumn id="12" xr3:uid="{6532F487-03C7-409C-ADC4-FEBB6599999A}" name="Nazwa handlowa, dawka, postać , ilość w opakowaniu" dataDxfId="59" totalsRowDxfId="58"/>
  </tableColumns>
  <tableStyleInfo name="TableStyleMedium2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A5E47C0F-05A5-4343-A92C-DB40CB6E6441}" name="Tabela69" displayName="Tabela69" ref="A8:L11" totalsRowCount="1" headerRowDxfId="57" dataDxfId="55" headerRowBorderDxfId="56" tableBorderDxfId="54" totalsRowBorderDxfId="53">
  <autoFilter ref="A8:L10" xr:uid="{130899A0-5238-436C-8610-1D3DDD213376}"/>
  <tableColumns count="12">
    <tableColumn id="1" xr3:uid="{929983DD-F6B3-4FA5-9A1B-8761A5D8CC42}" name="L.p." totalsRowLabel="Suma" dataDxfId="52" totalsRowDxfId="51"/>
    <tableColumn id="2" xr3:uid="{AC3F82FB-B497-4E1F-8A95-3AF94D91F81A}" name="Nazwa, postać, dawka" dataDxfId="50" totalsRowDxfId="49"/>
    <tableColumn id="3" xr3:uid="{0F449F39-B2BA-47C5-9D3B-F3761E7D5E2E}" name="j.m." dataDxfId="48" totalsRowDxfId="47"/>
    <tableColumn id="4" xr3:uid="{F147A0D6-DBB6-4FBB-81B4-CD0AAC173EF2}" name="Ilość" dataDxfId="46" totalsRowDxfId="45"/>
    <tableColumn id="5" xr3:uid="{5B0798CF-0457-4CE4-9C72-B5B3AC713ED9}" name="C.j. netto" dataDxfId="44" totalsRowDxfId="43" dataCellStyle="Walutowy"/>
    <tableColumn id="6" xr3:uid="{92A60549-70DE-45D6-B7C0-2591B39F4F57}" name="Wartość netto" totalsRowFunction="sum" dataDxfId="42" totalsRowDxfId="41" dataCellStyle="Walutowy">
      <calculatedColumnFormula>Tabela69[[#This Row],[Ilość]]*Tabela69[[#This Row],[C.j. netto]]</calculatedColumnFormula>
    </tableColumn>
    <tableColumn id="7" xr3:uid="{9C1D6BC8-D825-4CD2-BD79-299133C108FA}" name="Stawka podatku VAT" dataDxfId="40" totalsRowDxfId="39"/>
    <tableColumn id="8" xr3:uid="{564EAB10-874E-4A34-A995-6AC0092C1CE1}" name="C.j. brutto" dataDxfId="38" totalsRowDxfId="37" dataCellStyle="Walutowy"/>
    <tableColumn id="9" xr3:uid="{2D7103D7-678E-4F3D-B2F6-2CF8411A1CF3}" name="Wartość brutto" dataDxfId="36" totalsRowDxfId="35"/>
    <tableColumn id="10" xr3:uid="{BC7FAE35-A6FF-49A8-A7F1-F35F30A7B5A2}" name="Producent " dataDxfId="34" totalsRowDxfId="33"/>
    <tableColumn id="11" xr3:uid="{B8D638AE-D986-416D-9F59-8E75E90DBBD9}" name="Kod EAN" dataDxfId="32" totalsRowDxfId="31"/>
    <tableColumn id="12" xr3:uid="{FD054FEF-E73A-4048-8A3E-5E385753885C}" name="Nazwa handlowa, dawka, postać , ilość w opakowaniu" dataDxfId="30" totalsRowDxfId="2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A33CD23F-690C-4609-BCC0-0C7A85705908}" name="Tabela7" displayName="Tabela7" ref="A8:L10" totalsRowCount="1" headerRowDxfId="1820" dataDxfId="1818" headerRowBorderDxfId="1819" tableBorderDxfId="1817" totalsRowBorderDxfId="1816">
  <autoFilter ref="A8:L9" xr:uid="{130899A0-5238-436C-8610-1D3DDD213376}"/>
  <tableColumns count="12">
    <tableColumn id="1" xr3:uid="{08D31FD0-1D71-41F3-857D-57215E28A7D0}" name="L.p." totalsRowLabel="Suma" dataDxfId="1815" totalsRowDxfId="1814"/>
    <tableColumn id="2" xr3:uid="{30CF4846-9939-40F1-9340-8385E0E65596}" name="Nazwa, postać, dawka" dataDxfId="1813" totalsRowDxfId="1812"/>
    <tableColumn id="3" xr3:uid="{DAAA92AA-FDF9-43F8-BE6E-85AFEDBE5931}" name="j.m." dataDxfId="1811" totalsRowDxfId="1810"/>
    <tableColumn id="4" xr3:uid="{703FD32A-D601-41B4-835B-C84C043EC9C1}" name="Ilość" dataDxfId="1809" totalsRowDxfId="1808"/>
    <tableColumn id="5" xr3:uid="{2D9473D1-C24B-4598-854A-9A4D4ADB8BF8}" name="C.j. netto" dataDxfId="1807" totalsRowDxfId="1806" dataCellStyle="Walutowy"/>
    <tableColumn id="6" xr3:uid="{FCA4EE02-A5F4-491E-BC2B-0D4FC5FC6173}" name="Wartość netto" totalsRowFunction="sum" dataDxfId="1805" totalsRowDxfId="1804" dataCellStyle="Walutowy">
      <calculatedColumnFormula>Tabela7[[#This Row],[Ilość]]*Tabela7[[#This Row],[C.j. netto]]</calculatedColumnFormula>
    </tableColumn>
    <tableColumn id="7" xr3:uid="{6F870716-0F71-450A-8BDE-8FD628CAD55D}" name="Stawka podatku VAT" dataDxfId="1803" totalsRowDxfId="1802" dataCellStyle="Procentowy"/>
    <tableColumn id="8" xr3:uid="{53F8E785-EB4C-473E-A91B-223DD91959E6}" name="C.j. brutto" dataDxfId="1801" totalsRowDxfId="1800" dataCellStyle="Walutowy">
      <calculatedColumnFormula>Tabela7[[#This Row],[C.j. netto]]*(1+Tabela7[[#This Row],[Stawka podatku VAT]])</calculatedColumnFormula>
    </tableColumn>
    <tableColumn id="9" xr3:uid="{BE6F341F-EB99-442F-8DAB-2972FE67972F}" name="Wartość brutto" dataDxfId="1799" totalsRowDxfId="1798">
      <calculatedColumnFormula>Tabela7[[#This Row],[C.j. brutto]]*Tabela7[[#This Row],[Ilość]]</calculatedColumnFormula>
    </tableColumn>
    <tableColumn id="10" xr3:uid="{88ABC8D9-9253-4EEA-998F-459E9DD7F4EF}" name="Producent " dataDxfId="1797" totalsRowDxfId="1796"/>
    <tableColumn id="11" xr3:uid="{0747592A-7897-4074-A276-E0878AE1D600}" name="Kod EAN" dataDxfId="1795" totalsRowDxfId="1794"/>
    <tableColumn id="12" xr3:uid="{3F95D6C2-B35B-44DE-A1A5-9E73D4589805}" name="Nazwa handlowa, dawka, postać , ilość w opakowaniu" dataDxfId="1793" totalsRowDxfId="1792"/>
  </tableColumns>
  <tableStyleInfo name="TableStyleMedium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A24F9D54-A3F1-4316-844F-0F11C554CD1A}" name="Tabela70" displayName="Tabela70" ref="A8:L10" totalsRowCount="1" headerRowDxfId="28" dataDxfId="26" headerRowBorderDxfId="27" tableBorderDxfId="25" totalsRowBorderDxfId="24">
  <autoFilter ref="A8:L9" xr:uid="{130899A0-5238-436C-8610-1D3DDD213376}"/>
  <tableColumns count="12">
    <tableColumn id="1" xr3:uid="{B932D07A-87E3-498C-8485-218914C719F9}" name="L.p." dataDxfId="23" totalsRowDxfId="22"/>
    <tableColumn id="2" xr3:uid="{8B260642-E0DC-4014-BB78-79CDA3DC9AA4}" name="Nazwa, postać, dawka" dataDxfId="21" totalsRowDxfId="20"/>
    <tableColumn id="3" xr3:uid="{36AD06FE-D980-4CE9-B08F-78B7F6D45F51}" name="j.m." dataDxfId="19" totalsRowDxfId="18"/>
    <tableColumn id="4" xr3:uid="{4384C9E3-4A56-4E7D-A434-E037E083CD4C}" name="Ilość" dataDxfId="17" totalsRowDxfId="16"/>
    <tableColumn id="5" xr3:uid="{7A593A20-469C-4C13-BFAA-373377FF5222}" name="C.j. netto" dataDxfId="15" totalsRowDxfId="14"/>
    <tableColumn id="6" xr3:uid="{6F709D5B-52CF-42D4-91A6-ED5AE41F0053}" name="Wartość netto" totalsRowFunction="sum" dataDxfId="13" totalsRowDxfId="12">
      <calculatedColumnFormula>Tabela70[[#This Row],[Ilość]]*Tabela70[[#This Row],[C.j. netto]]</calculatedColumnFormula>
    </tableColumn>
    <tableColumn id="7" xr3:uid="{5568C4DB-FBE6-4C34-9F09-15F4EAC53EB3}" name="Stawka podatku VAT" dataDxfId="11" totalsRowDxfId="10"/>
    <tableColumn id="8" xr3:uid="{0F8F2E08-2B5C-441C-B291-314D6537707E}" name="C.j. brutto" dataDxfId="9" totalsRowDxfId="8" dataCellStyle="Walutowy"/>
    <tableColumn id="9" xr3:uid="{4BE39669-234F-4FF6-9499-0028AE6F66FF}" name="Wartość brutto" dataDxfId="7" totalsRowDxfId="6"/>
    <tableColumn id="10" xr3:uid="{65301620-7AE7-4B8E-80D6-65228FCBC081}" name="Producent " dataDxfId="5" totalsRowDxfId="4"/>
    <tableColumn id="11" xr3:uid="{C21FFE7F-96BE-488A-B574-347941E02BBC}" name="Kod EAN" dataDxfId="3" totalsRowDxfId="2"/>
    <tableColumn id="12" xr3:uid="{1BC4E6A9-6511-4541-AFB8-3B94D72A9FB2}" name="Nazwa handlowa, dawka, postać , ilość w opakowaniu" dataDxfId="1" totalsRowDxfId="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F066D92-C317-4219-B655-8BAA9E0B6DF4}" name="Tabela8" displayName="Tabela8" ref="A8:L18" totalsRowCount="1" headerRowDxfId="1791" dataDxfId="1789" headerRowBorderDxfId="1790" tableBorderDxfId="1788" totalsRowBorderDxfId="1787">
  <autoFilter ref="A8:L17" xr:uid="{130899A0-5238-436C-8610-1D3DDD213376}"/>
  <sortState ref="A9:L16">
    <sortCondition ref="B8:B16"/>
  </sortState>
  <tableColumns count="12">
    <tableColumn id="1" xr3:uid="{BD231F49-E7B4-413E-94F1-D524CEE1A3F4}" name="L.p." totalsRowLabel="Suma" dataDxfId="1786" totalsRowDxfId="1785"/>
    <tableColumn id="2" xr3:uid="{EAB2DA75-B43C-4D11-BAD4-84B27D84323A}" name="Nazwa, postać, dawka" dataDxfId="1784" totalsRowDxfId="1783"/>
    <tableColumn id="3" xr3:uid="{20D8B606-0495-4714-A83D-2601FCBD81A5}" name="j.m." dataDxfId="1782" totalsRowDxfId="1781"/>
    <tableColumn id="4" xr3:uid="{349A8DB2-4900-40B6-BC51-D2ACC42E2C23}" name="Ilość" dataDxfId="1780" totalsRowDxfId="1779"/>
    <tableColumn id="5" xr3:uid="{B1447562-E22B-4DFC-B611-7DEAA525F3D1}" name="C.j. netto" dataDxfId="1778" totalsRowDxfId="1777" dataCellStyle="Walutowy"/>
    <tableColumn id="6" xr3:uid="{E05557CF-5529-4023-AD58-EE81BA3161C1}" name="Wartość netto" totalsRowFunction="sum" dataDxfId="1776" totalsRowDxfId="1775" dataCellStyle="Walutowy">
      <calculatedColumnFormula>Tabela8[[#This Row],[Ilość]]*Tabela8[[#This Row],[C.j. netto]]</calculatedColumnFormula>
    </tableColumn>
    <tableColumn id="7" xr3:uid="{8206F135-3327-4907-A1B7-BAEBFF0F21F3}" name="Stawka podatku VAT" dataDxfId="1774" totalsRowDxfId="1773"/>
    <tableColumn id="8" xr3:uid="{C5C986C3-3CA5-4255-BA80-6E7E04EEC1F1}" name="C.j. brutto" dataDxfId="1772" totalsRowDxfId="1771" dataCellStyle="Walutowy"/>
    <tableColumn id="9" xr3:uid="{0323423F-9343-4FB6-818B-D6FD8A517CCA}" name="Wartość brutto" dataDxfId="1770" totalsRowDxfId="1769"/>
    <tableColumn id="10" xr3:uid="{F22F8ACA-5F17-4BBE-960F-A4C02C905EA4}" name="Producent " dataDxfId="1768" totalsRowDxfId="1767"/>
    <tableColumn id="11" xr3:uid="{EFE24C89-E010-428C-983A-84F7413B7E0D}" name="Kod EAN" dataDxfId="1766" totalsRowDxfId="1765"/>
    <tableColumn id="12" xr3:uid="{BD79C673-B83F-42C4-9B4A-AADBC275840B}" name="Nazwa handlowa, dawka, postać , ilość w opakowaniu" dataDxfId="1764" totalsRowDxfId="176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1CA7630-0411-4881-9868-3ECEE9121BAD}" name="Tabela9" displayName="Tabela9" ref="A8:L41" totalsRowCount="1" headerRowDxfId="1762" dataDxfId="1760" headerRowBorderDxfId="1761" tableBorderDxfId="1759" totalsRowBorderDxfId="1758">
  <autoFilter ref="A8:L40" xr:uid="{130899A0-5238-436C-8610-1D3DDD213376}"/>
  <sortState ref="A9:L15">
    <sortCondition ref="B8:B15"/>
  </sortState>
  <tableColumns count="12">
    <tableColumn id="1" xr3:uid="{709826F8-ACD6-4AB8-9C1B-EFDCF38D1938}" name="L.p." totalsRowLabel="Suma" dataDxfId="1757" totalsRowDxfId="1756"/>
    <tableColumn id="2" xr3:uid="{0347D0A3-FFAF-442C-9AF7-6DD704F14341}" name="Nazwa, postać, dawka" dataDxfId="1755" totalsRowDxfId="1754"/>
    <tableColumn id="3" xr3:uid="{EBD4EC9D-40FF-4A45-8604-59DBEDC948C8}" name="j.m." dataDxfId="1753" totalsRowDxfId="1752"/>
    <tableColumn id="4" xr3:uid="{7F8E0E2F-82ED-48FC-AF77-DADF793858ED}" name="Ilość" dataDxfId="1751" totalsRowDxfId="1750"/>
    <tableColumn id="5" xr3:uid="{B46E7419-9AFF-415B-8275-770C302BF98E}" name="C.j. netto" dataDxfId="1749" totalsRowDxfId="1748" dataCellStyle="Walutowy"/>
    <tableColumn id="6" xr3:uid="{FD1912F3-EA1D-4D7A-9159-A9825070882E}" name="Wartość netto" totalsRowFunction="sum" dataDxfId="1747" totalsRowDxfId="1746" dataCellStyle="Walutowy">
      <calculatedColumnFormula>Tabela9[[#This Row],[Ilość]]*Tabela9[[#This Row],[C.j. netto]]</calculatedColumnFormula>
    </tableColumn>
    <tableColumn id="7" xr3:uid="{7B68DD5A-2317-4602-A201-32849BF50755}" name="Stawka podatku VAT" dataDxfId="1745" totalsRowDxfId="1744"/>
    <tableColumn id="8" xr3:uid="{E5C3A3DF-9ED0-4DE1-923F-075A2904BA27}" name="C.j. brutto" dataDxfId="1743" totalsRowDxfId="1742" dataCellStyle="Walutowy"/>
    <tableColumn id="9" xr3:uid="{F3151E99-AF29-49E9-9C52-30523AC25D06}" name="Wartość brutto" dataDxfId="1741" totalsRowDxfId="1740"/>
    <tableColumn id="10" xr3:uid="{4ACA57FC-FE64-418A-BDF6-67D721120407}" name="Producent " dataDxfId="1739" totalsRowDxfId="1738"/>
    <tableColumn id="11" xr3:uid="{0098568A-6766-4F49-9F02-FE7B8E40E415}" name="Kod EAN" dataDxfId="1737" totalsRowDxfId="1736"/>
    <tableColumn id="12" xr3:uid="{81531A22-6F4F-41C6-BD15-9F4F88470A29}" name="Nazwa handlowa, dawka, postać , ilość w opakowaniu" dataDxfId="1735" totalsRowDxfId="17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0.x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C647-8E81-4ECD-A91C-9344EA9BF9A9}">
  <sheetPr>
    <pageSetUpPr fitToPage="1"/>
  </sheetPr>
  <dimension ref="A1:M61"/>
  <sheetViews>
    <sheetView tabSelected="1" zoomScale="94" zoomScaleNormal="160" workbookViewId="0"/>
    <sheetView workbookViewId="1"/>
    <sheetView tabSelected="1" workbookViewId="2">
      <selection activeCell="H16" sqref="H16"/>
    </sheetView>
  </sheetViews>
  <sheetFormatPr defaultRowHeight="14.25"/>
  <cols>
    <col min="1" max="1" width="14.125" customWidth="1"/>
    <col min="2" max="2" width="49.625" style="6" customWidth="1"/>
    <col min="3" max="4" width="9.125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14</v>
      </c>
      <c r="B1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33" t="s">
        <v>4</v>
      </c>
      <c r="B9" s="195" t="s">
        <v>30</v>
      </c>
      <c r="C9" s="127" t="s">
        <v>29</v>
      </c>
      <c r="D9" s="127">
        <v>150</v>
      </c>
      <c r="E9" s="196"/>
      <c r="F9" s="196">
        <f>Tabela1[[#This Row],[Ilość]]*Tabela1[[#This Row],[C.j. netto]]</f>
        <v>0</v>
      </c>
      <c r="G9" s="37"/>
      <c r="H9" s="38"/>
      <c r="I9" s="37"/>
      <c r="J9" s="37"/>
      <c r="K9" s="37"/>
      <c r="L9" s="39"/>
    </row>
    <row r="10" spans="1:13">
      <c r="A10" s="33" t="s">
        <v>5</v>
      </c>
      <c r="B10" s="34" t="s">
        <v>31</v>
      </c>
      <c r="C10" s="35" t="s">
        <v>29</v>
      </c>
      <c r="D10" s="35">
        <v>150</v>
      </c>
      <c r="E10" s="36"/>
      <c r="F10" s="36">
        <f>Tabela1[[#This Row],[Ilość]]*Tabela1[[#This Row],[C.j. netto]]</f>
        <v>0</v>
      </c>
      <c r="G10" s="37"/>
      <c r="H10" s="38"/>
      <c r="I10" s="37"/>
      <c r="J10" s="37"/>
      <c r="K10" s="37"/>
      <c r="L10" s="39"/>
    </row>
    <row r="11" spans="1:13" ht="25.5">
      <c r="A11" s="33" t="s">
        <v>6</v>
      </c>
      <c r="B11" s="34" t="s">
        <v>28</v>
      </c>
      <c r="C11" s="35" t="s">
        <v>29</v>
      </c>
      <c r="D11" s="35">
        <v>100</v>
      </c>
      <c r="E11" s="36"/>
      <c r="F11" s="36">
        <f>Tabela1[[#This Row],[Ilość]]*Tabela1[[#This Row],[C.j. netto]]</f>
        <v>0</v>
      </c>
      <c r="G11" s="37"/>
      <c r="H11" s="38"/>
      <c r="I11" s="37"/>
      <c r="J11" s="37"/>
      <c r="K11" s="37"/>
      <c r="L11" s="39"/>
    </row>
    <row r="12" spans="1:13">
      <c r="A12" s="33" t="s">
        <v>26</v>
      </c>
      <c r="B12" s="34" t="s">
        <v>108</v>
      </c>
      <c r="C12" s="35" t="s">
        <v>29</v>
      </c>
      <c r="D12" s="35">
        <v>150</v>
      </c>
      <c r="E12" s="36"/>
      <c r="F12" s="36">
        <f>Tabela1[[#This Row],[Ilość]]*Tabela1[[#This Row],[C.j. netto]]</f>
        <v>0</v>
      </c>
      <c r="G12" s="37"/>
      <c r="H12" s="38"/>
      <c r="I12" s="37"/>
      <c r="J12" s="37"/>
      <c r="K12" s="37"/>
      <c r="L12" s="39"/>
    </row>
    <row r="13" spans="1:13">
      <c r="A13" s="33" t="s">
        <v>27</v>
      </c>
      <c r="B13" s="34" t="s">
        <v>109</v>
      </c>
      <c r="C13" s="35" t="s">
        <v>29</v>
      </c>
      <c r="D13" s="35">
        <v>200</v>
      </c>
      <c r="E13" s="36"/>
      <c r="F13" s="36">
        <f>Tabela1[[#This Row],[Ilość]]*Tabela1[[#This Row],[C.j. netto]]</f>
        <v>0</v>
      </c>
      <c r="G13" s="37"/>
      <c r="H13" s="38"/>
      <c r="I13" s="37"/>
      <c r="J13" s="37"/>
      <c r="K13" s="37"/>
      <c r="L13" s="39"/>
    </row>
    <row r="14" spans="1:13">
      <c r="A14" s="33" t="s">
        <v>32</v>
      </c>
      <c r="B14" s="34" t="s">
        <v>33</v>
      </c>
      <c r="C14" s="35" t="s">
        <v>29</v>
      </c>
      <c r="D14" s="35">
        <v>500</v>
      </c>
      <c r="E14" s="36"/>
      <c r="F14" s="36">
        <f>Tabela1[[#This Row],[Ilość]]*Tabela1[[#This Row],[C.j. netto]]</f>
        <v>0</v>
      </c>
      <c r="G14" s="37"/>
      <c r="H14" s="38"/>
      <c r="I14" s="37"/>
      <c r="J14" s="37"/>
      <c r="K14" s="37"/>
      <c r="L14" s="39"/>
    </row>
    <row r="15" spans="1:13">
      <c r="A15" s="33" t="s">
        <v>34</v>
      </c>
      <c r="B15" s="34" t="s">
        <v>35</v>
      </c>
      <c r="C15" s="35" t="s">
        <v>29</v>
      </c>
      <c r="D15" s="35">
        <v>200</v>
      </c>
      <c r="E15" s="36"/>
      <c r="F15" s="36">
        <f>Tabela1[[#This Row],[Ilość]]*Tabela1[[#This Row],[C.j. netto]]</f>
        <v>0</v>
      </c>
      <c r="G15" s="37"/>
      <c r="H15" s="38"/>
      <c r="I15" s="37"/>
      <c r="J15" s="37"/>
      <c r="K15" s="37"/>
      <c r="L15" s="39"/>
    </row>
    <row r="16" spans="1:13">
      <c r="A16" s="33" t="s">
        <v>36</v>
      </c>
      <c r="B16" s="34" t="s">
        <v>37</v>
      </c>
      <c r="C16" s="35" t="s">
        <v>29</v>
      </c>
      <c r="D16" s="35">
        <v>50</v>
      </c>
      <c r="E16" s="36"/>
      <c r="F16" s="36">
        <f>Tabela1[[#This Row],[Ilość]]*Tabela1[[#This Row],[C.j. netto]]</f>
        <v>0</v>
      </c>
      <c r="G16" s="37"/>
      <c r="H16" s="38"/>
      <c r="I16" s="37"/>
      <c r="J16" s="37"/>
      <c r="K16" s="37"/>
      <c r="L16" s="39"/>
    </row>
    <row r="17" spans="1:12">
      <c r="A17" s="33" t="s">
        <v>38</v>
      </c>
      <c r="B17" s="34" t="s">
        <v>41</v>
      </c>
      <c r="C17" s="35" t="s">
        <v>29</v>
      </c>
      <c r="D17" s="35">
        <v>30</v>
      </c>
      <c r="E17" s="36"/>
      <c r="F17" s="36">
        <f>Tabela1[[#This Row],[Ilość]]*Tabela1[[#This Row],[C.j. netto]]</f>
        <v>0</v>
      </c>
      <c r="G17" s="37"/>
      <c r="H17" s="38"/>
      <c r="I17" s="37"/>
      <c r="J17" s="37"/>
      <c r="K17" s="37"/>
      <c r="L17" s="39"/>
    </row>
    <row r="18" spans="1:12" ht="25.5">
      <c r="A18" s="33" t="s">
        <v>40</v>
      </c>
      <c r="B18" s="34" t="s">
        <v>43</v>
      </c>
      <c r="C18" s="35" t="s">
        <v>44</v>
      </c>
      <c r="D18" s="35">
        <v>10</v>
      </c>
      <c r="E18" s="36"/>
      <c r="F18" s="36">
        <f>Tabela1[[#This Row],[Ilość]]*Tabela1[[#This Row],[C.j. netto]]</f>
        <v>0</v>
      </c>
      <c r="G18" s="37"/>
      <c r="H18" s="38"/>
      <c r="I18" s="37"/>
      <c r="J18" s="37"/>
      <c r="K18" s="37"/>
      <c r="L18" s="39"/>
    </row>
    <row r="19" spans="1:12">
      <c r="A19" s="33" t="s">
        <v>42</v>
      </c>
      <c r="B19" s="34" t="s">
        <v>46</v>
      </c>
      <c r="C19" s="35" t="s">
        <v>29</v>
      </c>
      <c r="D19" s="35">
        <v>15</v>
      </c>
      <c r="E19" s="36"/>
      <c r="F19" s="36">
        <f>Tabela1[[#This Row],[Ilość]]*Tabela1[[#This Row],[C.j. netto]]</f>
        <v>0</v>
      </c>
      <c r="G19" s="37"/>
      <c r="H19" s="38"/>
      <c r="I19" s="37"/>
      <c r="J19" s="37"/>
      <c r="K19" s="37"/>
      <c r="L19" s="39"/>
    </row>
    <row r="20" spans="1:12">
      <c r="A20" s="33" t="s">
        <v>45</v>
      </c>
      <c r="B20" s="34" t="s">
        <v>110</v>
      </c>
      <c r="C20" s="35" t="s">
        <v>29</v>
      </c>
      <c r="D20" s="35">
        <v>170</v>
      </c>
      <c r="E20" s="36"/>
      <c r="F20" s="36">
        <f>Tabela1[[#This Row],[Ilość]]*Tabela1[[#This Row],[C.j. netto]]</f>
        <v>0</v>
      </c>
      <c r="G20" s="37"/>
      <c r="H20" s="38"/>
      <c r="I20" s="37"/>
      <c r="J20" s="37"/>
      <c r="K20" s="37"/>
      <c r="L20" s="39"/>
    </row>
    <row r="21" spans="1:12">
      <c r="A21" s="33" t="s">
        <v>47</v>
      </c>
      <c r="B21" s="34" t="s">
        <v>1266</v>
      </c>
      <c r="C21" s="35" t="s">
        <v>29</v>
      </c>
      <c r="D21" s="35">
        <v>125</v>
      </c>
      <c r="E21" s="36"/>
      <c r="F21" s="36">
        <f>Tabela1[[#This Row],[Ilość]]*Tabela1[[#This Row],[C.j. netto]]</f>
        <v>0</v>
      </c>
      <c r="G21" s="37"/>
      <c r="H21" s="38"/>
      <c r="I21" s="37"/>
      <c r="J21" s="37"/>
      <c r="K21" s="37"/>
      <c r="L21" s="39"/>
    </row>
    <row r="22" spans="1:12">
      <c r="A22" s="33" t="s">
        <v>48</v>
      </c>
      <c r="B22" s="34" t="s">
        <v>1267</v>
      </c>
      <c r="C22" s="35" t="s">
        <v>29</v>
      </c>
      <c r="D22" s="40">
        <v>1350</v>
      </c>
      <c r="E22" s="36"/>
      <c r="F22" s="36">
        <f>Tabela1[[#This Row],[Ilość]]*Tabela1[[#This Row],[C.j. netto]]</f>
        <v>0</v>
      </c>
      <c r="G22" s="37"/>
      <c r="H22" s="38"/>
      <c r="I22" s="37"/>
      <c r="J22" s="37"/>
      <c r="K22" s="37"/>
      <c r="L22" s="39"/>
    </row>
    <row r="23" spans="1:12">
      <c r="A23" s="33" t="s">
        <v>49</v>
      </c>
      <c r="B23" s="34" t="s">
        <v>51</v>
      </c>
      <c r="C23" s="35" t="s">
        <v>29</v>
      </c>
      <c r="D23" s="35">
        <v>100</v>
      </c>
      <c r="E23" s="36"/>
      <c r="F23" s="36">
        <f>Tabela1[[#This Row],[Ilość]]*Tabela1[[#This Row],[C.j. netto]]</f>
        <v>0</v>
      </c>
      <c r="G23" s="37"/>
      <c r="H23" s="38"/>
      <c r="I23" s="37"/>
      <c r="J23" s="37"/>
      <c r="K23" s="37"/>
      <c r="L23" s="39"/>
    </row>
    <row r="24" spans="1:12">
      <c r="A24" s="33" t="s">
        <v>50</v>
      </c>
      <c r="B24" s="34" t="s">
        <v>53</v>
      </c>
      <c r="C24" s="35" t="s">
        <v>29</v>
      </c>
      <c r="D24" s="35">
        <v>300</v>
      </c>
      <c r="E24" s="36"/>
      <c r="F24" s="36">
        <f>Tabela1[[#This Row],[Ilość]]*Tabela1[[#This Row],[C.j. netto]]</f>
        <v>0</v>
      </c>
      <c r="G24" s="37"/>
      <c r="H24" s="38"/>
      <c r="I24" s="37"/>
      <c r="J24" s="37"/>
      <c r="K24" s="37"/>
      <c r="L24" s="39"/>
    </row>
    <row r="25" spans="1:12">
      <c r="A25" s="33" t="s">
        <v>52</v>
      </c>
      <c r="B25" s="34" t="s">
        <v>55</v>
      </c>
      <c r="C25" s="35" t="s">
        <v>29</v>
      </c>
      <c r="D25" s="35">
        <v>35</v>
      </c>
      <c r="E25" s="36"/>
      <c r="F25" s="36">
        <f>Tabela1[[#This Row],[Ilość]]*Tabela1[[#This Row],[C.j. netto]]</f>
        <v>0</v>
      </c>
      <c r="G25" s="37"/>
      <c r="H25" s="38"/>
      <c r="I25" s="37"/>
      <c r="J25" s="37"/>
      <c r="K25" s="37"/>
      <c r="L25" s="39"/>
    </row>
    <row r="26" spans="1:12">
      <c r="A26" s="33" t="s">
        <v>54</v>
      </c>
      <c r="B26" s="57" t="s">
        <v>1270</v>
      </c>
      <c r="C26" s="35" t="s">
        <v>29</v>
      </c>
      <c r="D26" s="64">
        <v>300</v>
      </c>
      <c r="E26" s="36"/>
      <c r="F26" s="36">
        <f>Tabela1[[#This Row],[Ilość]]*Tabela1[[#This Row],[C.j. netto]]</f>
        <v>0</v>
      </c>
      <c r="G26" s="37"/>
      <c r="H26" s="38"/>
      <c r="I26" s="37"/>
      <c r="J26" s="37"/>
      <c r="K26" s="37"/>
      <c r="L26" s="39"/>
    </row>
    <row r="27" spans="1:12">
      <c r="A27" s="33" t="s">
        <v>56</v>
      </c>
      <c r="B27" s="34" t="s">
        <v>58</v>
      </c>
      <c r="C27" s="35" t="s">
        <v>29</v>
      </c>
      <c r="D27" s="35">
        <v>20</v>
      </c>
      <c r="E27" s="36"/>
      <c r="F27" s="36">
        <f>Tabela1[[#This Row],[Ilość]]*Tabela1[[#This Row],[C.j. netto]]</f>
        <v>0</v>
      </c>
      <c r="G27" s="37"/>
      <c r="H27" s="38"/>
      <c r="I27" s="37"/>
      <c r="J27" s="37"/>
      <c r="K27" s="37"/>
      <c r="L27" s="39"/>
    </row>
    <row r="28" spans="1:12">
      <c r="A28" s="33" t="s">
        <v>57</v>
      </c>
      <c r="B28" s="34" t="s">
        <v>60</v>
      </c>
      <c r="C28" s="35" t="s">
        <v>29</v>
      </c>
      <c r="D28" s="35">
        <v>50</v>
      </c>
      <c r="E28" s="36"/>
      <c r="F28" s="36">
        <f>Tabela1[[#This Row],[Ilość]]*Tabela1[[#This Row],[C.j. netto]]</f>
        <v>0</v>
      </c>
      <c r="G28" s="37"/>
      <c r="H28" s="38"/>
      <c r="I28" s="37"/>
      <c r="J28" s="37"/>
      <c r="K28" s="37"/>
      <c r="L28" s="39"/>
    </row>
    <row r="29" spans="1:12">
      <c r="A29" s="33" t="s">
        <v>59</v>
      </c>
      <c r="B29" s="34" t="s">
        <v>62</v>
      </c>
      <c r="C29" s="35" t="s">
        <v>29</v>
      </c>
      <c r="D29" s="35">
        <v>25</v>
      </c>
      <c r="E29" s="36"/>
      <c r="F29" s="36">
        <f>Tabela1[[#This Row],[Ilość]]*Tabela1[[#This Row],[C.j. netto]]</f>
        <v>0</v>
      </c>
      <c r="G29" s="37"/>
      <c r="H29" s="38"/>
      <c r="I29" s="37"/>
      <c r="J29" s="37"/>
      <c r="K29" s="37"/>
      <c r="L29" s="39"/>
    </row>
    <row r="30" spans="1:12">
      <c r="A30" s="33" t="s">
        <v>61</v>
      </c>
      <c r="B30" s="34" t="s">
        <v>64</v>
      </c>
      <c r="C30" s="35" t="s">
        <v>29</v>
      </c>
      <c r="D30" s="35">
        <v>100</v>
      </c>
      <c r="E30" s="36"/>
      <c r="F30" s="36">
        <f>Tabela1[[#This Row],[Ilość]]*Tabela1[[#This Row],[C.j. netto]]</f>
        <v>0</v>
      </c>
      <c r="G30" s="37"/>
      <c r="H30" s="38"/>
      <c r="I30" s="37"/>
      <c r="J30" s="37"/>
      <c r="K30" s="37"/>
      <c r="L30" s="39"/>
    </row>
    <row r="31" spans="1:12" ht="25.5">
      <c r="A31" s="33" t="s">
        <v>63</v>
      </c>
      <c r="B31" s="34" t="s">
        <v>68</v>
      </c>
      <c r="C31" s="35" t="s">
        <v>29</v>
      </c>
      <c r="D31" s="35">
        <v>5</v>
      </c>
      <c r="E31" s="36"/>
      <c r="F31" s="36">
        <f>Tabela1[[#This Row],[Ilość]]*Tabela1[[#This Row],[C.j. netto]]</f>
        <v>0</v>
      </c>
      <c r="G31" s="37"/>
      <c r="H31" s="38"/>
      <c r="I31" s="37"/>
      <c r="J31" s="37"/>
      <c r="K31" s="37"/>
      <c r="L31" s="39"/>
    </row>
    <row r="32" spans="1:12" ht="25.5">
      <c r="A32" s="33" t="s">
        <v>65</v>
      </c>
      <c r="B32" s="34" t="s">
        <v>70</v>
      </c>
      <c r="C32" s="35" t="s">
        <v>29</v>
      </c>
      <c r="D32" s="35">
        <v>5</v>
      </c>
      <c r="E32" s="36"/>
      <c r="F32" s="36">
        <f>Tabela1[[#This Row],[Ilość]]*Tabela1[[#This Row],[C.j. netto]]</f>
        <v>0</v>
      </c>
      <c r="G32" s="37"/>
      <c r="H32" s="38"/>
      <c r="I32" s="37"/>
      <c r="J32" s="37"/>
      <c r="K32" s="37"/>
      <c r="L32" s="39"/>
    </row>
    <row r="33" spans="1:12">
      <c r="A33" s="33" t="s">
        <v>67</v>
      </c>
      <c r="B33" s="34" t="s">
        <v>72</v>
      </c>
      <c r="C33" s="35" t="s">
        <v>29</v>
      </c>
      <c r="D33" s="35">
        <v>30</v>
      </c>
      <c r="E33" s="36"/>
      <c r="F33" s="36">
        <f>Tabela1[[#This Row],[Ilość]]*Tabela1[[#This Row],[C.j. netto]]</f>
        <v>0</v>
      </c>
      <c r="G33" s="37"/>
      <c r="H33" s="38"/>
      <c r="I33" s="37"/>
      <c r="J33" s="37"/>
      <c r="K33" s="37"/>
      <c r="L33" s="39"/>
    </row>
    <row r="34" spans="1:12">
      <c r="A34" s="33" t="s">
        <v>69</v>
      </c>
      <c r="B34" s="34" t="s">
        <v>74</v>
      </c>
      <c r="C34" s="35" t="s">
        <v>29</v>
      </c>
      <c r="D34" s="35">
        <v>100</v>
      </c>
      <c r="E34" s="36"/>
      <c r="F34" s="36">
        <f>Tabela1[[#This Row],[Ilość]]*Tabela1[[#This Row],[C.j. netto]]</f>
        <v>0</v>
      </c>
      <c r="G34" s="37"/>
      <c r="H34" s="38"/>
      <c r="I34" s="37"/>
      <c r="J34" s="37"/>
      <c r="K34" s="37"/>
      <c r="L34" s="39"/>
    </row>
    <row r="35" spans="1:12">
      <c r="A35" s="33" t="s">
        <v>71</v>
      </c>
      <c r="B35" s="34" t="s">
        <v>76</v>
      </c>
      <c r="C35" s="35" t="s">
        <v>29</v>
      </c>
      <c r="D35" s="35">
        <v>800</v>
      </c>
      <c r="E35" s="36"/>
      <c r="F35" s="36">
        <f>Tabela1[[#This Row],[Ilość]]*Tabela1[[#This Row],[C.j. netto]]</f>
        <v>0</v>
      </c>
      <c r="G35" s="37"/>
      <c r="H35" s="38"/>
      <c r="I35" s="37"/>
      <c r="J35" s="37"/>
      <c r="K35" s="37"/>
      <c r="L35" s="39"/>
    </row>
    <row r="36" spans="1:12">
      <c r="A36" s="33" t="s">
        <v>73</v>
      </c>
      <c r="B36" s="34" t="s">
        <v>78</v>
      </c>
      <c r="C36" s="35" t="s">
        <v>29</v>
      </c>
      <c r="D36" s="35">
        <v>80</v>
      </c>
      <c r="E36" s="36"/>
      <c r="F36" s="36">
        <f>Tabela1[[#This Row],[Ilość]]*Tabela1[[#This Row],[C.j. netto]]</f>
        <v>0</v>
      </c>
      <c r="G36" s="37"/>
      <c r="H36" s="38"/>
      <c r="I36" s="37"/>
      <c r="J36" s="37"/>
      <c r="K36" s="37"/>
      <c r="L36" s="39"/>
    </row>
    <row r="37" spans="1:12">
      <c r="A37" s="33" t="s">
        <v>75</v>
      </c>
      <c r="B37" s="34" t="s">
        <v>80</v>
      </c>
      <c r="C37" s="35" t="s">
        <v>29</v>
      </c>
      <c r="D37" s="35">
        <v>200</v>
      </c>
      <c r="E37" s="36"/>
      <c r="F37" s="36">
        <f>Tabela1[[#This Row],[Ilość]]*Tabela1[[#This Row],[C.j. netto]]</f>
        <v>0</v>
      </c>
      <c r="G37" s="37"/>
      <c r="H37" s="38"/>
      <c r="I37" s="37"/>
      <c r="J37" s="37"/>
      <c r="K37" s="37"/>
      <c r="L37" s="39"/>
    </row>
    <row r="38" spans="1:12">
      <c r="A38" s="33" t="s">
        <v>77</v>
      </c>
      <c r="B38" s="34" t="s">
        <v>82</v>
      </c>
      <c r="C38" s="35" t="s">
        <v>29</v>
      </c>
      <c r="D38" s="35">
        <v>35</v>
      </c>
      <c r="E38" s="36"/>
      <c r="F38" s="36">
        <f>Tabela1[[#This Row],[Ilość]]*Tabela1[[#This Row],[C.j. netto]]</f>
        <v>0</v>
      </c>
      <c r="G38" s="37"/>
      <c r="H38" s="38"/>
      <c r="I38" s="37"/>
      <c r="J38" s="37"/>
      <c r="K38" s="37"/>
      <c r="L38" s="39"/>
    </row>
    <row r="39" spans="1:12">
      <c r="A39" s="33" t="s">
        <v>79</v>
      </c>
      <c r="B39" s="34" t="s">
        <v>111</v>
      </c>
      <c r="C39" s="35" t="s">
        <v>16</v>
      </c>
      <c r="D39" s="35">
        <v>600</v>
      </c>
      <c r="E39" s="36"/>
      <c r="F39" s="36">
        <f>Tabela1[[#This Row],[Ilość]]*Tabela1[[#This Row],[C.j. netto]]</f>
        <v>0</v>
      </c>
      <c r="G39" s="37"/>
      <c r="H39" s="38"/>
      <c r="I39" s="37"/>
      <c r="J39" s="37"/>
      <c r="K39" s="37"/>
      <c r="L39" s="39"/>
    </row>
    <row r="40" spans="1:12">
      <c r="A40" s="33" t="s">
        <v>81</v>
      </c>
      <c r="B40" s="34" t="s">
        <v>85</v>
      </c>
      <c r="C40" s="35" t="s">
        <v>29</v>
      </c>
      <c r="D40" s="35">
        <v>100</v>
      </c>
      <c r="E40" s="36"/>
      <c r="F40" s="36">
        <f>Tabela1[[#This Row],[Ilość]]*Tabela1[[#This Row],[C.j. netto]]</f>
        <v>0</v>
      </c>
      <c r="G40" s="37"/>
      <c r="H40" s="38"/>
      <c r="I40" s="37"/>
      <c r="J40" s="37"/>
      <c r="K40" s="37"/>
      <c r="L40" s="39"/>
    </row>
    <row r="41" spans="1:12">
      <c r="A41" s="33" t="s">
        <v>83</v>
      </c>
      <c r="B41" s="34" t="s">
        <v>87</v>
      </c>
      <c r="C41" s="35" t="s">
        <v>29</v>
      </c>
      <c r="D41" s="35">
        <v>450</v>
      </c>
      <c r="E41" s="36"/>
      <c r="F41" s="36">
        <f>Tabela1[[#This Row],[Ilość]]*Tabela1[[#This Row],[C.j. netto]]</f>
        <v>0</v>
      </c>
      <c r="G41" s="37"/>
      <c r="H41" s="38"/>
      <c r="I41" s="37"/>
      <c r="J41" s="37"/>
      <c r="K41" s="37"/>
      <c r="L41" s="39"/>
    </row>
    <row r="42" spans="1:12">
      <c r="A42" s="33" t="s">
        <v>84</v>
      </c>
      <c r="B42" s="34" t="s">
        <v>1265</v>
      </c>
      <c r="C42" s="35" t="s">
        <v>29</v>
      </c>
      <c r="D42" s="35">
        <v>30</v>
      </c>
      <c r="E42" s="36"/>
      <c r="F42" s="36">
        <f>Tabela1[[#This Row],[Ilość]]*Tabela1[[#This Row],[C.j. netto]]</f>
        <v>0</v>
      </c>
      <c r="G42" s="37"/>
      <c r="H42" s="38"/>
      <c r="I42" s="37"/>
      <c r="J42" s="37"/>
      <c r="K42" s="37"/>
      <c r="L42" s="39"/>
    </row>
    <row r="43" spans="1:12">
      <c r="A43" s="33" t="s">
        <v>86</v>
      </c>
      <c r="B43" s="34" t="s">
        <v>91</v>
      </c>
      <c r="C43" s="35" t="s">
        <v>29</v>
      </c>
      <c r="D43" s="35">
        <v>1800</v>
      </c>
      <c r="E43" s="36"/>
      <c r="F43" s="36">
        <f>Tabela1[[#This Row],[Ilość]]*Tabela1[[#This Row],[C.j. netto]]</f>
        <v>0</v>
      </c>
      <c r="G43" s="37"/>
      <c r="H43" s="38"/>
      <c r="I43" s="37"/>
      <c r="J43" s="37"/>
      <c r="K43" s="37"/>
      <c r="L43" s="39"/>
    </row>
    <row r="44" spans="1:12">
      <c r="A44" s="33" t="s">
        <v>88</v>
      </c>
      <c r="B44" s="34" t="s">
        <v>93</v>
      </c>
      <c r="C44" s="35" t="s">
        <v>29</v>
      </c>
      <c r="D44" s="35">
        <v>200</v>
      </c>
      <c r="E44" s="36"/>
      <c r="F44" s="36">
        <f>Tabela1[[#This Row],[Ilość]]*Tabela1[[#This Row],[C.j. netto]]</f>
        <v>0</v>
      </c>
      <c r="G44" s="37"/>
      <c r="H44" s="38"/>
      <c r="I44" s="37"/>
      <c r="J44" s="37"/>
      <c r="K44" s="37"/>
      <c r="L44" s="39"/>
    </row>
    <row r="45" spans="1:12">
      <c r="A45" s="33" t="s">
        <v>89</v>
      </c>
      <c r="B45" s="34" t="s">
        <v>95</v>
      </c>
      <c r="C45" s="35" t="s">
        <v>29</v>
      </c>
      <c r="D45" s="35">
        <v>60</v>
      </c>
      <c r="E45" s="36"/>
      <c r="F45" s="36">
        <f>Tabela1[[#This Row],[Ilość]]*Tabela1[[#This Row],[C.j. netto]]</f>
        <v>0</v>
      </c>
      <c r="G45" s="37"/>
      <c r="H45" s="38"/>
      <c r="I45" s="37"/>
      <c r="J45" s="37"/>
      <c r="K45" s="37"/>
      <c r="L45" s="39"/>
    </row>
    <row r="46" spans="1:12">
      <c r="A46" s="33" t="s">
        <v>90</v>
      </c>
      <c r="B46" s="34" t="s">
        <v>99</v>
      </c>
      <c r="C46" s="35" t="s">
        <v>29</v>
      </c>
      <c r="D46" s="35">
        <v>80</v>
      </c>
      <c r="E46" s="36"/>
      <c r="F46" s="36">
        <f>Tabela1[[#This Row],[Ilość]]*Tabela1[[#This Row],[C.j. netto]]</f>
        <v>0</v>
      </c>
      <c r="G46" s="37"/>
      <c r="H46" s="38"/>
      <c r="I46" s="37"/>
      <c r="J46" s="37"/>
      <c r="K46" s="37"/>
      <c r="L46" s="39"/>
    </row>
    <row r="47" spans="1:12">
      <c r="A47" s="33" t="s">
        <v>92</v>
      </c>
      <c r="B47" s="34" t="s">
        <v>101</v>
      </c>
      <c r="C47" s="35" t="s">
        <v>29</v>
      </c>
      <c r="D47" s="35">
        <v>80</v>
      </c>
      <c r="E47" s="36"/>
      <c r="F47" s="36">
        <f>Tabela1[[#This Row],[Ilość]]*Tabela1[[#This Row],[C.j. netto]]</f>
        <v>0</v>
      </c>
      <c r="G47" s="37"/>
      <c r="H47" s="38"/>
      <c r="I47" s="37"/>
      <c r="J47" s="37"/>
      <c r="K47" s="37"/>
      <c r="L47" s="39"/>
    </row>
    <row r="48" spans="1:12" ht="25.5">
      <c r="A48" s="33" t="s">
        <v>94</v>
      </c>
      <c r="B48" s="34" t="s">
        <v>1268</v>
      </c>
      <c r="C48" s="35" t="s">
        <v>103</v>
      </c>
      <c r="D48" s="35">
        <v>300</v>
      </c>
      <c r="E48" s="36"/>
      <c r="F48" s="36">
        <f>Tabela1[[#This Row],[Ilość]]*Tabela1[[#This Row],[C.j. netto]]</f>
        <v>0</v>
      </c>
      <c r="G48" s="37"/>
      <c r="H48" s="38"/>
      <c r="I48" s="37"/>
      <c r="J48" s="37"/>
      <c r="K48" s="37"/>
      <c r="L48" s="39"/>
    </row>
    <row r="49" spans="1:12" ht="25.5">
      <c r="A49" s="33" t="s">
        <v>96</v>
      </c>
      <c r="B49" s="34" t="s">
        <v>1269</v>
      </c>
      <c r="C49" s="35" t="s">
        <v>103</v>
      </c>
      <c r="D49" s="35">
        <v>150</v>
      </c>
      <c r="E49" s="36"/>
      <c r="F49" s="36">
        <f>Tabela1[[#This Row],[Ilość]]*Tabela1[[#This Row],[C.j. netto]]</f>
        <v>0</v>
      </c>
      <c r="G49" s="37"/>
      <c r="H49" s="38"/>
      <c r="I49" s="37"/>
      <c r="J49" s="37"/>
      <c r="K49" s="37"/>
      <c r="L49" s="39"/>
    </row>
    <row r="50" spans="1:12">
      <c r="A50" s="33" t="s">
        <v>98</v>
      </c>
      <c r="B50" s="34" t="s">
        <v>107</v>
      </c>
      <c r="C50" s="35" t="s">
        <v>106</v>
      </c>
      <c r="D50" s="35">
        <v>500</v>
      </c>
      <c r="E50" s="36"/>
      <c r="F50" s="43">
        <f>Tabela1[[#This Row],[Ilość]]*Tabela1[[#This Row],[C.j. netto]]</f>
        <v>0</v>
      </c>
      <c r="G50" s="44"/>
      <c r="H50" s="45"/>
      <c r="I50" s="44"/>
      <c r="J50" s="44"/>
      <c r="K50" s="44"/>
      <c r="L50" s="46"/>
    </row>
    <row r="51" spans="1:12" ht="25.5">
      <c r="A51" s="33" t="s">
        <v>100</v>
      </c>
      <c r="B51" s="197" t="s">
        <v>1087</v>
      </c>
      <c r="C51" s="143" t="s">
        <v>106</v>
      </c>
      <c r="D51" s="143">
        <v>50</v>
      </c>
      <c r="E51" s="144"/>
      <c r="F51" s="36">
        <f>Tabela1[[#This Row],[Ilość]]*Tabela1[[#This Row],[C.j. netto]]</f>
        <v>0</v>
      </c>
      <c r="G51" s="37"/>
      <c r="H51" s="38"/>
      <c r="I51" s="37"/>
      <c r="J51" s="37"/>
      <c r="K51" s="37"/>
      <c r="L51" s="39"/>
    </row>
    <row r="52" spans="1:12" ht="25.5">
      <c r="A52" s="33" t="s">
        <v>102</v>
      </c>
      <c r="B52" s="77" t="s">
        <v>1088</v>
      </c>
      <c r="C52" s="64" t="s">
        <v>106</v>
      </c>
      <c r="D52" s="64">
        <v>260</v>
      </c>
      <c r="E52" s="75"/>
      <c r="F52" s="36">
        <f>Tabela1[[#This Row],[Ilość]]*Tabela1[[#This Row],[C.j. netto]]</f>
        <v>0</v>
      </c>
      <c r="G52" s="37"/>
      <c r="H52" s="38"/>
      <c r="I52" s="37"/>
      <c r="J52" s="37"/>
      <c r="K52" s="37"/>
      <c r="L52" s="39"/>
    </row>
    <row r="53" spans="1:12">
      <c r="A53" s="33" t="s">
        <v>104</v>
      </c>
      <c r="B53" s="57" t="s">
        <v>750</v>
      </c>
      <c r="C53" s="35" t="s">
        <v>29</v>
      </c>
      <c r="D53" s="64">
        <v>15</v>
      </c>
      <c r="E53" s="36"/>
      <c r="F53" s="36">
        <f>Tabela1[[#This Row],[Ilość]]*Tabela1[[#This Row],[C.j. netto]]</f>
        <v>0</v>
      </c>
      <c r="G53" s="37"/>
      <c r="H53" s="38"/>
      <c r="I53" s="37"/>
      <c r="J53" s="37"/>
      <c r="K53" s="37"/>
      <c r="L53" s="39"/>
    </row>
    <row r="54" spans="1:12">
      <c r="A54" s="33" t="s">
        <v>105</v>
      </c>
      <c r="B54" s="57" t="s">
        <v>751</v>
      </c>
      <c r="C54" s="35" t="s">
        <v>29</v>
      </c>
      <c r="D54" s="64">
        <v>15</v>
      </c>
      <c r="E54" s="36"/>
      <c r="F54" s="36">
        <f>Tabela1[[#This Row],[Ilość]]*Tabela1[[#This Row],[C.j. netto]]</f>
        <v>0</v>
      </c>
      <c r="G54" s="37"/>
      <c r="H54" s="38"/>
      <c r="I54" s="37"/>
      <c r="J54" s="37"/>
      <c r="K54" s="37"/>
      <c r="L54" s="39"/>
    </row>
    <row r="55" spans="1:12">
      <c r="A55" s="33" t="s">
        <v>331</v>
      </c>
      <c r="B55" s="34" t="s">
        <v>1374</v>
      </c>
      <c r="C55" s="35" t="s">
        <v>16</v>
      </c>
      <c r="D55" s="35">
        <v>10</v>
      </c>
      <c r="E55" s="36"/>
      <c r="F55" s="36">
        <f>Tabela1[[#This Row],[Ilość]]*Tabela1[[#This Row],[C.j. netto]]</f>
        <v>0</v>
      </c>
      <c r="G55" s="37"/>
      <c r="H55" s="38"/>
      <c r="I55" s="37"/>
      <c r="J55" s="37"/>
      <c r="K55" s="37"/>
      <c r="L55" s="39"/>
    </row>
    <row r="56" spans="1:12">
      <c r="A56" s="13" t="s">
        <v>118</v>
      </c>
      <c r="B56" s="14"/>
      <c r="C56" s="26"/>
      <c r="D56" s="26"/>
      <c r="E56" s="15"/>
      <c r="F56" s="31">
        <f>SUBTOTAL(109,Tabela1[Wartość netto])</f>
        <v>0</v>
      </c>
      <c r="G56" s="15"/>
      <c r="H56" s="26"/>
      <c r="I56" s="15"/>
      <c r="J56" s="15"/>
      <c r="K56" s="15"/>
      <c r="L56" s="16"/>
    </row>
    <row r="58" spans="1:12" ht="30" customHeight="1"/>
    <row r="59" spans="1:12" ht="30" customHeight="1">
      <c r="A59" s="10" t="s">
        <v>115</v>
      </c>
      <c r="B59" s="5"/>
    </row>
    <row r="60" spans="1:12" ht="30" customHeight="1">
      <c r="A60" s="11" t="s">
        <v>116</v>
      </c>
      <c r="B60" s="5"/>
      <c r="L60" s="17"/>
    </row>
    <row r="61" spans="1:12" ht="15">
      <c r="A61" s="11" t="s">
        <v>117</v>
      </c>
      <c r="B61" s="5"/>
      <c r="L61" s="32" t="s">
        <v>119</v>
      </c>
    </row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92765-BE00-4F01-B6C5-5309AFB07340}">
  <sheetPr>
    <pageSetUpPr fitToPage="1"/>
  </sheetPr>
  <dimension ref="A1:M31"/>
  <sheetViews>
    <sheetView topLeftCell="A154" workbookViewId="0">
      <selection activeCell="E182" sqref="E182"/>
    </sheetView>
    <sheetView workbookViewId="1"/>
    <sheetView workbookViewId="2">
      <selection activeCell="E9" sqref="E9:E26"/>
    </sheetView>
  </sheetViews>
  <sheetFormatPr defaultRowHeight="14.25"/>
  <cols>
    <col min="1" max="1" width="14.125" customWidth="1"/>
    <col min="2" max="2" width="56.5" style="6" customWidth="1"/>
    <col min="3" max="4" width="9.125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25</v>
      </c>
      <c r="B1" s="19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202" t="s">
        <v>4</v>
      </c>
      <c r="B9" s="49" t="s">
        <v>211</v>
      </c>
      <c r="C9" s="50" t="s">
        <v>16</v>
      </c>
      <c r="D9" s="50">
        <v>30</v>
      </c>
      <c r="E9" s="51"/>
      <c r="F9" s="51">
        <f>Tabela10[[#This Row],[Ilość]]*Tabela10[[#This Row],[C.j. netto]]</f>
        <v>0</v>
      </c>
      <c r="G9" s="37"/>
      <c r="H9" s="38"/>
      <c r="I9" s="37"/>
      <c r="J9" s="37"/>
      <c r="K9" s="37"/>
      <c r="L9" s="37"/>
    </row>
    <row r="10" spans="1:13">
      <c r="A10" s="202" t="s">
        <v>5</v>
      </c>
      <c r="B10" s="49" t="s">
        <v>212</v>
      </c>
      <c r="C10" s="50" t="s">
        <v>16</v>
      </c>
      <c r="D10" s="50">
        <v>30</v>
      </c>
      <c r="E10" s="51"/>
      <c r="F10" s="51">
        <f>Tabela10[[#This Row],[Ilość]]*Tabela10[[#This Row],[C.j. netto]]</f>
        <v>0</v>
      </c>
      <c r="G10" s="37"/>
      <c r="H10" s="38"/>
      <c r="I10" s="37"/>
      <c r="J10" s="37"/>
      <c r="K10" s="37"/>
      <c r="L10" s="37"/>
    </row>
    <row r="11" spans="1:13">
      <c r="A11" s="202" t="s">
        <v>6</v>
      </c>
      <c r="B11" s="49" t="s">
        <v>209</v>
      </c>
      <c r="C11" s="50" t="s">
        <v>16</v>
      </c>
      <c r="D11" s="50">
        <v>30</v>
      </c>
      <c r="E11" s="51"/>
      <c r="F11" s="51">
        <f>Tabela10[[#This Row],[Ilość]]*Tabela10[[#This Row],[C.j. netto]]</f>
        <v>0</v>
      </c>
      <c r="G11" s="37"/>
      <c r="H11" s="38"/>
      <c r="I11" s="37"/>
      <c r="J11" s="37"/>
      <c r="K11" s="37"/>
      <c r="L11" s="37"/>
    </row>
    <row r="12" spans="1:13">
      <c r="A12" s="202" t="s">
        <v>26</v>
      </c>
      <c r="B12" s="49" t="s">
        <v>210</v>
      </c>
      <c r="C12" s="50" t="s">
        <v>16</v>
      </c>
      <c r="D12" s="50">
        <v>60</v>
      </c>
      <c r="E12" s="51"/>
      <c r="F12" s="51">
        <f>Tabela10[[#This Row],[Ilość]]*Tabela10[[#This Row],[C.j. netto]]</f>
        <v>0</v>
      </c>
      <c r="G12" s="37"/>
      <c r="H12" s="38"/>
      <c r="I12" s="37"/>
      <c r="J12" s="37"/>
      <c r="K12" s="37"/>
      <c r="L12" s="37"/>
    </row>
    <row r="13" spans="1:13">
      <c r="A13" s="202" t="s">
        <v>27</v>
      </c>
      <c r="B13" s="49" t="s">
        <v>208</v>
      </c>
      <c r="C13" s="50" t="s">
        <v>16</v>
      </c>
      <c r="D13" s="50">
        <v>60</v>
      </c>
      <c r="E13" s="51"/>
      <c r="F13" s="51">
        <f>Tabela10[[#This Row],[Ilość]]*Tabela10[[#This Row],[C.j. netto]]</f>
        <v>0</v>
      </c>
      <c r="G13" s="37"/>
      <c r="H13" s="38"/>
      <c r="I13" s="37"/>
      <c r="J13" s="37"/>
      <c r="K13" s="37"/>
      <c r="L13" s="37"/>
    </row>
    <row r="14" spans="1:13">
      <c r="A14" s="202" t="s">
        <v>32</v>
      </c>
      <c r="B14" s="49" t="s">
        <v>213</v>
      </c>
      <c r="C14" s="50" t="s">
        <v>16</v>
      </c>
      <c r="D14" s="50">
        <v>120</v>
      </c>
      <c r="E14" s="51"/>
      <c r="F14" s="51">
        <f>Tabela10[[#This Row],[Ilość]]*Tabela10[[#This Row],[C.j. netto]]</f>
        <v>0</v>
      </c>
      <c r="G14" s="37"/>
      <c r="H14" s="38"/>
      <c r="I14" s="37"/>
      <c r="J14" s="37"/>
      <c r="K14" s="37"/>
      <c r="L14" s="37"/>
    </row>
    <row r="15" spans="1:13">
      <c r="A15" s="202" t="s">
        <v>34</v>
      </c>
      <c r="B15" s="49" t="s">
        <v>214</v>
      </c>
      <c r="C15" s="50" t="s">
        <v>16</v>
      </c>
      <c r="D15" s="50">
        <v>80</v>
      </c>
      <c r="E15" s="51"/>
      <c r="F15" s="51">
        <f>Tabela10[[#This Row],[Ilość]]*Tabela10[[#This Row],[C.j. netto]]</f>
        <v>0</v>
      </c>
      <c r="G15" s="37"/>
      <c r="H15" s="38"/>
      <c r="I15" s="37"/>
      <c r="J15" s="37"/>
      <c r="K15" s="37"/>
      <c r="L15" s="37"/>
    </row>
    <row r="16" spans="1:13">
      <c r="A16" s="202" t="s">
        <v>36</v>
      </c>
      <c r="B16" s="49" t="s">
        <v>66</v>
      </c>
      <c r="C16" s="50" t="s">
        <v>29</v>
      </c>
      <c r="D16" s="50">
        <v>30</v>
      </c>
      <c r="E16" s="51"/>
      <c r="F16" s="51">
        <f>Tabela10[[#This Row],[Ilość]]*Tabela10[[#This Row],[C.j. netto]]</f>
        <v>0</v>
      </c>
      <c r="G16" s="37"/>
      <c r="H16" s="38"/>
      <c r="I16" s="37"/>
      <c r="J16" s="37"/>
      <c r="K16" s="37"/>
      <c r="L16" s="37"/>
    </row>
    <row r="17" spans="1:12">
      <c r="A17" s="202" t="s">
        <v>38</v>
      </c>
      <c r="B17" s="49" t="s">
        <v>215</v>
      </c>
      <c r="C17" s="50" t="s">
        <v>16</v>
      </c>
      <c r="D17" s="50">
        <v>25</v>
      </c>
      <c r="E17" s="51"/>
      <c r="F17" s="51">
        <f>Tabela10[[#This Row],[Ilość]]*Tabela10[[#This Row],[C.j. netto]]</f>
        <v>0</v>
      </c>
      <c r="G17" s="37"/>
      <c r="H17" s="38"/>
      <c r="I17" s="37"/>
      <c r="J17" s="37"/>
      <c r="K17" s="37"/>
      <c r="L17" s="37"/>
    </row>
    <row r="18" spans="1:12">
      <c r="A18" s="202" t="s">
        <v>40</v>
      </c>
      <c r="B18" s="49" t="s">
        <v>216</v>
      </c>
      <c r="C18" s="50" t="s">
        <v>29</v>
      </c>
      <c r="D18" s="50">
        <v>60</v>
      </c>
      <c r="E18" s="51"/>
      <c r="F18" s="51">
        <f>Tabela10[[#This Row],[Ilość]]*Tabela10[[#This Row],[C.j. netto]]</f>
        <v>0</v>
      </c>
      <c r="G18" s="37"/>
      <c r="H18" s="38"/>
      <c r="I18" s="37"/>
      <c r="J18" s="37"/>
      <c r="K18" s="37"/>
      <c r="L18" s="37"/>
    </row>
    <row r="19" spans="1:12">
      <c r="A19" s="202" t="s">
        <v>42</v>
      </c>
      <c r="B19" s="49" t="s">
        <v>217</v>
      </c>
      <c r="C19" s="50" t="s">
        <v>16</v>
      </c>
      <c r="D19" s="50">
        <v>30</v>
      </c>
      <c r="E19" s="51"/>
      <c r="F19" s="51">
        <f>Tabela10[[#This Row],[Ilość]]*Tabela10[[#This Row],[C.j. netto]]</f>
        <v>0</v>
      </c>
      <c r="G19" s="37"/>
      <c r="H19" s="38"/>
      <c r="I19" s="37"/>
      <c r="J19" s="37"/>
      <c r="K19" s="37"/>
      <c r="L19" s="37"/>
    </row>
    <row r="20" spans="1:12">
      <c r="A20" s="202" t="s">
        <v>45</v>
      </c>
      <c r="B20" s="49" t="s">
        <v>1166</v>
      </c>
      <c r="C20" s="50" t="s">
        <v>16</v>
      </c>
      <c r="D20" s="50">
        <v>50</v>
      </c>
      <c r="E20" s="51"/>
      <c r="F20" s="51">
        <f>Tabela10[[#This Row],[Ilość]]*Tabela10[[#This Row],[C.j. netto]]</f>
        <v>0</v>
      </c>
      <c r="G20" s="37"/>
      <c r="H20" s="38"/>
      <c r="I20" s="37"/>
      <c r="J20" s="37"/>
      <c r="K20" s="37"/>
      <c r="L20" s="37"/>
    </row>
    <row r="21" spans="1:12">
      <c r="A21" s="202" t="s">
        <v>47</v>
      </c>
      <c r="B21" s="49" t="s">
        <v>1167</v>
      </c>
      <c r="C21" s="50" t="s">
        <v>16</v>
      </c>
      <c r="D21" s="50">
        <v>220</v>
      </c>
      <c r="E21" s="51"/>
      <c r="F21" s="51">
        <f>Tabela10[[#This Row],[Ilość]]*Tabela10[[#This Row],[C.j. netto]]</f>
        <v>0</v>
      </c>
      <c r="G21" s="37"/>
      <c r="H21" s="38"/>
      <c r="I21" s="37"/>
      <c r="J21" s="37"/>
      <c r="K21" s="37"/>
      <c r="L21" s="37"/>
    </row>
    <row r="22" spans="1:12" ht="25.5">
      <c r="A22" s="202" t="s">
        <v>48</v>
      </c>
      <c r="B22" s="49" t="s">
        <v>1286</v>
      </c>
      <c r="C22" s="50" t="s">
        <v>16</v>
      </c>
      <c r="D22" s="50">
        <v>100</v>
      </c>
      <c r="E22" s="51"/>
      <c r="F22" s="51">
        <f>Tabela10[[#This Row],[Ilość]]*Tabela10[[#This Row],[C.j. netto]]</f>
        <v>0</v>
      </c>
      <c r="G22" s="37"/>
      <c r="H22" s="38"/>
      <c r="I22" s="37"/>
      <c r="J22" s="37"/>
      <c r="K22" s="37"/>
      <c r="L22" s="37"/>
    </row>
    <row r="23" spans="1:12">
      <c r="A23" s="202" t="s">
        <v>49</v>
      </c>
      <c r="B23" s="49" t="s">
        <v>1171</v>
      </c>
      <c r="C23" s="50" t="s">
        <v>16</v>
      </c>
      <c r="D23" s="50">
        <v>60</v>
      </c>
      <c r="E23" s="51"/>
      <c r="F23" s="51">
        <f>Tabela10[[#This Row],[Ilość]]*Tabela10[[#This Row],[C.j. netto]]</f>
        <v>0</v>
      </c>
      <c r="G23" s="37"/>
      <c r="H23" s="38"/>
      <c r="I23" s="37"/>
      <c r="J23" s="37"/>
      <c r="K23" s="37"/>
      <c r="L23" s="37"/>
    </row>
    <row r="24" spans="1:12">
      <c r="A24" s="202" t="s">
        <v>50</v>
      </c>
      <c r="B24" s="49" t="s">
        <v>1172</v>
      </c>
      <c r="C24" s="50" t="s">
        <v>16</v>
      </c>
      <c r="D24" s="50">
        <v>3</v>
      </c>
      <c r="E24" s="51"/>
      <c r="F24" s="51">
        <f>Tabela10[[#This Row],[Ilość]]*Tabela10[[#This Row],[C.j. netto]]</f>
        <v>0</v>
      </c>
      <c r="G24" s="37"/>
      <c r="H24" s="38"/>
      <c r="I24" s="37"/>
      <c r="J24" s="37"/>
      <c r="K24" s="37"/>
      <c r="L24" s="37"/>
    </row>
    <row r="25" spans="1:12">
      <c r="A25" s="202" t="s">
        <v>52</v>
      </c>
      <c r="B25" s="57" t="s">
        <v>1036</v>
      </c>
      <c r="C25" s="50" t="s">
        <v>16</v>
      </c>
      <c r="D25" s="50">
        <v>5</v>
      </c>
      <c r="E25" s="51"/>
      <c r="F25" s="51">
        <f>Tabela10[[#This Row],[Ilość]]*Tabela10[[#This Row],[C.j. netto]]</f>
        <v>0</v>
      </c>
      <c r="G25" s="37"/>
      <c r="H25" s="38"/>
      <c r="I25" s="37"/>
      <c r="J25" s="37"/>
      <c r="K25" s="37"/>
      <c r="L25" s="37"/>
    </row>
    <row r="26" spans="1:12">
      <c r="A26" s="202" t="s">
        <v>54</v>
      </c>
      <c r="B26" s="57" t="s">
        <v>1037</v>
      </c>
      <c r="C26" s="50" t="s">
        <v>16</v>
      </c>
      <c r="D26" s="50">
        <v>100</v>
      </c>
      <c r="E26" s="51"/>
      <c r="F26" s="51">
        <f>Tabela10[[#This Row],[Ilość]]*Tabela10[[#This Row],[C.j. netto]]</f>
        <v>0</v>
      </c>
      <c r="G26" s="37"/>
      <c r="H26" s="38"/>
      <c r="I26" s="37"/>
      <c r="J26" s="37"/>
      <c r="K26" s="37"/>
      <c r="L26" s="37"/>
    </row>
    <row r="27" spans="1:12">
      <c r="A27" s="9" t="s">
        <v>118</v>
      </c>
      <c r="B27" s="7"/>
      <c r="C27" s="25"/>
      <c r="D27" s="25"/>
      <c r="E27" s="12"/>
      <c r="F27" s="61">
        <f>SUBTOTAL(109,Tabela10[Wartość netto])</f>
        <v>0</v>
      </c>
      <c r="G27" s="12"/>
      <c r="H27" s="25"/>
      <c r="I27" s="12"/>
      <c r="J27" s="12"/>
      <c r="K27" s="12"/>
      <c r="L27" s="12"/>
    </row>
    <row r="28" spans="1:12" ht="30" customHeight="1">
      <c r="A28" s="27"/>
      <c r="B28" s="60"/>
      <c r="E28"/>
      <c r="F28" s="28"/>
      <c r="H28" s="24"/>
    </row>
    <row r="29" spans="1:12" ht="30" customHeight="1">
      <c r="A29" s="10" t="s">
        <v>115</v>
      </c>
      <c r="B29" s="5"/>
    </row>
    <row r="30" spans="1:12" ht="30" customHeight="1">
      <c r="A30" s="11" t="s">
        <v>116</v>
      </c>
      <c r="B30" s="5"/>
      <c r="L30" s="17"/>
    </row>
    <row r="31" spans="1:12" ht="15">
      <c r="A31" s="11" t="s">
        <v>117</v>
      </c>
      <c r="B31" s="5"/>
      <c r="L31" s="32" t="s">
        <v>119</v>
      </c>
    </row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7DF82-A134-42AF-9373-0D93C9F21DD1}">
  <sheetPr>
    <pageSetUpPr fitToPage="1"/>
  </sheetPr>
  <dimension ref="A1:M41"/>
  <sheetViews>
    <sheetView topLeftCell="A5" workbookViewId="0">
      <selection activeCell="E35" sqref="E35"/>
    </sheetView>
    <sheetView workbookViewId="1"/>
    <sheetView workbookViewId="2">
      <selection activeCell="E9" sqref="E9:E35"/>
    </sheetView>
  </sheetViews>
  <sheetFormatPr defaultRowHeight="14.25"/>
  <cols>
    <col min="1" max="1" width="14.125" customWidth="1"/>
    <col min="2" max="2" width="49.625" style="6" customWidth="1"/>
    <col min="3" max="4" width="8.875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218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48" t="s">
        <v>4</v>
      </c>
      <c r="B9" s="49" t="s">
        <v>219</v>
      </c>
      <c r="C9" s="50" t="s">
        <v>29</v>
      </c>
      <c r="D9" s="50">
        <v>1000</v>
      </c>
      <c r="E9" s="51"/>
      <c r="F9" s="51">
        <f>Tabela11[[#This Row],[Ilość]]*Tabela11[[#This Row],[C.j. netto]]</f>
        <v>0</v>
      </c>
      <c r="G9" s="37"/>
      <c r="H9" s="38"/>
      <c r="I9" s="37"/>
      <c r="J9" s="37"/>
      <c r="K9" s="37"/>
      <c r="L9" s="39"/>
    </row>
    <row r="10" spans="1:13" ht="63.75">
      <c r="A10" s="48" t="s">
        <v>5</v>
      </c>
      <c r="B10" s="49" t="s">
        <v>220</v>
      </c>
      <c r="C10" s="50" t="s">
        <v>29</v>
      </c>
      <c r="D10" s="50">
        <v>3</v>
      </c>
      <c r="E10" s="51"/>
      <c r="F10" s="51">
        <f>Tabela11[[#This Row],[Ilość]]*Tabela11[[#This Row],[C.j. netto]]</f>
        <v>0</v>
      </c>
      <c r="G10" s="37"/>
      <c r="H10" s="38"/>
      <c r="I10" s="37"/>
      <c r="J10" s="37"/>
      <c r="K10" s="37"/>
      <c r="L10" s="39"/>
    </row>
    <row r="11" spans="1:13" ht="51">
      <c r="A11" s="48" t="s">
        <v>6</v>
      </c>
      <c r="B11" s="49" t="s">
        <v>221</v>
      </c>
      <c r="C11" s="50" t="s">
        <v>29</v>
      </c>
      <c r="D11" s="50">
        <v>50</v>
      </c>
      <c r="E11" s="51"/>
      <c r="F11" s="51">
        <f>Tabela11[[#This Row],[Ilość]]*Tabela11[[#This Row],[C.j. netto]]</f>
        <v>0</v>
      </c>
      <c r="G11" s="37"/>
      <c r="H11" s="38"/>
      <c r="I11" s="37"/>
      <c r="J11" s="37"/>
      <c r="K11" s="37"/>
      <c r="L11" s="39"/>
    </row>
    <row r="12" spans="1:13" ht="25.5">
      <c r="A12" s="48" t="s">
        <v>26</v>
      </c>
      <c r="B12" s="49" t="s">
        <v>238</v>
      </c>
      <c r="C12" s="50" t="s">
        <v>29</v>
      </c>
      <c r="D12" s="62">
        <v>20000</v>
      </c>
      <c r="E12" s="51"/>
      <c r="F12" s="51">
        <f>Tabela11[[#This Row],[Ilość]]*Tabela11[[#This Row],[C.j. netto]]</f>
        <v>0</v>
      </c>
      <c r="G12" s="37"/>
      <c r="H12" s="38"/>
      <c r="I12" s="37"/>
      <c r="J12" s="37"/>
      <c r="K12" s="37"/>
      <c r="L12" s="39"/>
    </row>
    <row r="13" spans="1:13" ht="63.75">
      <c r="A13" s="48" t="s">
        <v>27</v>
      </c>
      <c r="B13" s="49" t="s">
        <v>1369</v>
      </c>
      <c r="C13" s="50" t="s">
        <v>29</v>
      </c>
      <c r="D13" s="50">
        <v>50</v>
      </c>
      <c r="E13" s="51"/>
      <c r="F13" s="51">
        <f>Tabela11[[#This Row],[Ilość]]*Tabela11[[#This Row],[C.j. netto]]</f>
        <v>0</v>
      </c>
      <c r="G13" s="37"/>
      <c r="H13" s="38"/>
      <c r="I13" s="37"/>
      <c r="J13" s="37"/>
      <c r="K13" s="37"/>
      <c r="L13" s="39"/>
    </row>
    <row r="14" spans="1:13" ht="63.75">
      <c r="A14" s="48" t="s">
        <v>32</v>
      </c>
      <c r="B14" s="49" t="s">
        <v>1370</v>
      </c>
      <c r="C14" s="50" t="s">
        <v>29</v>
      </c>
      <c r="D14" s="50">
        <v>10</v>
      </c>
      <c r="E14" s="51"/>
      <c r="F14" s="51">
        <f>Tabela11[[#This Row],[Ilość]]*Tabela11[[#This Row],[C.j. netto]]</f>
        <v>0</v>
      </c>
      <c r="G14" s="37"/>
      <c r="H14" s="38"/>
      <c r="I14" s="37"/>
      <c r="J14" s="37"/>
      <c r="K14" s="37"/>
      <c r="L14" s="39"/>
    </row>
    <row r="15" spans="1:13" ht="63.75">
      <c r="A15" s="48" t="s">
        <v>34</v>
      </c>
      <c r="B15" s="49" t="s">
        <v>1368</v>
      </c>
      <c r="C15" s="50" t="s">
        <v>29</v>
      </c>
      <c r="D15" s="50">
        <v>10</v>
      </c>
      <c r="E15" s="51"/>
      <c r="F15" s="51">
        <f>Tabela11[[#This Row],[Ilość]]*Tabela11[[#This Row],[C.j. netto]]</f>
        <v>0</v>
      </c>
      <c r="G15" s="37"/>
      <c r="H15" s="38"/>
      <c r="I15" s="37"/>
      <c r="J15" s="37"/>
      <c r="K15" s="37"/>
      <c r="L15" s="39"/>
    </row>
    <row r="16" spans="1:13" ht="51">
      <c r="A16" s="48" t="s">
        <v>36</v>
      </c>
      <c r="B16" s="49" t="s">
        <v>222</v>
      </c>
      <c r="C16" s="50" t="s">
        <v>29</v>
      </c>
      <c r="D16" s="50">
        <v>5</v>
      </c>
      <c r="E16" s="51"/>
      <c r="F16" s="51">
        <f>Tabela11[[#This Row],[Ilość]]*Tabela11[[#This Row],[C.j. netto]]</f>
        <v>0</v>
      </c>
      <c r="G16" s="37"/>
      <c r="H16" s="38"/>
      <c r="I16" s="37"/>
      <c r="J16" s="37"/>
      <c r="K16" s="37"/>
      <c r="L16" s="39"/>
    </row>
    <row r="17" spans="1:12" ht="63.75">
      <c r="A17" s="48" t="s">
        <v>38</v>
      </c>
      <c r="B17" s="49" t="s">
        <v>223</v>
      </c>
      <c r="C17" s="50" t="s">
        <v>29</v>
      </c>
      <c r="D17" s="50">
        <v>90</v>
      </c>
      <c r="E17" s="51"/>
      <c r="F17" s="51">
        <f>Tabela11[[#This Row],[Ilość]]*Tabela11[[#This Row],[C.j. netto]]</f>
        <v>0</v>
      </c>
      <c r="G17" s="37"/>
      <c r="H17" s="38"/>
      <c r="I17" s="37"/>
      <c r="J17" s="37"/>
      <c r="K17" s="37"/>
      <c r="L17" s="39"/>
    </row>
    <row r="18" spans="1:12" ht="76.5">
      <c r="A18" s="48" t="s">
        <v>40</v>
      </c>
      <c r="B18" s="49" t="s">
        <v>224</v>
      </c>
      <c r="C18" s="50" t="s">
        <v>29</v>
      </c>
      <c r="D18" s="50">
        <v>200</v>
      </c>
      <c r="E18" s="51"/>
      <c r="F18" s="51">
        <f>Tabela11[[#This Row],[Ilość]]*Tabela11[[#This Row],[C.j. netto]]</f>
        <v>0</v>
      </c>
      <c r="G18" s="37"/>
      <c r="H18" s="38"/>
      <c r="I18" s="37"/>
      <c r="J18" s="37"/>
      <c r="K18" s="37"/>
      <c r="L18" s="39"/>
    </row>
    <row r="19" spans="1:12" ht="63.75">
      <c r="A19" s="48" t="s">
        <v>42</v>
      </c>
      <c r="B19" s="49" t="s">
        <v>225</v>
      </c>
      <c r="C19" s="50" t="s">
        <v>29</v>
      </c>
      <c r="D19" s="50">
        <v>360</v>
      </c>
      <c r="E19" s="51"/>
      <c r="F19" s="51">
        <f>Tabela11[[#This Row],[Ilość]]*Tabela11[[#This Row],[C.j. netto]]</f>
        <v>0</v>
      </c>
      <c r="G19" s="37"/>
      <c r="H19" s="38"/>
      <c r="I19" s="37"/>
      <c r="J19" s="37"/>
      <c r="K19" s="37"/>
      <c r="L19" s="39"/>
    </row>
    <row r="20" spans="1:12" ht="63.75">
      <c r="A20" s="48" t="s">
        <v>45</v>
      </c>
      <c r="B20" s="49" t="s">
        <v>226</v>
      </c>
      <c r="C20" s="50" t="s">
        <v>29</v>
      </c>
      <c r="D20" s="50">
        <v>100</v>
      </c>
      <c r="E20" s="51"/>
      <c r="F20" s="51">
        <f>Tabela11[[#This Row],[Ilość]]*Tabela11[[#This Row],[C.j. netto]]</f>
        <v>0</v>
      </c>
      <c r="G20" s="37"/>
      <c r="H20" s="38"/>
      <c r="I20" s="37"/>
      <c r="J20" s="37"/>
      <c r="K20" s="37"/>
      <c r="L20" s="39"/>
    </row>
    <row r="21" spans="1:12" ht="76.5">
      <c r="A21" s="48" t="s">
        <v>47</v>
      </c>
      <c r="B21" s="49" t="s">
        <v>227</v>
      </c>
      <c r="C21" s="50" t="s">
        <v>29</v>
      </c>
      <c r="D21" s="50">
        <v>800</v>
      </c>
      <c r="E21" s="51"/>
      <c r="F21" s="51">
        <f>Tabela11[[#This Row],[Ilość]]*Tabela11[[#This Row],[C.j. netto]]</f>
        <v>0</v>
      </c>
      <c r="G21" s="37"/>
      <c r="H21" s="38"/>
      <c r="I21" s="37"/>
      <c r="J21" s="37"/>
      <c r="K21" s="37"/>
      <c r="L21" s="39"/>
    </row>
    <row r="22" spans="1:12" ht="51">
      <c r="A22" s="48" t="s">
        <v>48</v>
      </c>
      <c r="B22" s="49" t="s">
        <v>1366</v>
      </c>
      <c r="C22" s="50" t="s">
        <v>29</v>
      </c>
      <c r="D22" s="50">
        <v>120</v>
      </c>
      <c r="E22" s="51"/>
      <c r="F22" s="51">
        <f>Tabela11[[#This Row],[Ilość]]*Tabela11[[#This Row],[C.j. netto]]</f>
        <v>0</v>
      </c>
      <c r="G22" s="37"/>
      <c r="H22" s="38"/>
      <c r="I22" s="37"/>
      <c r="J22" s="37"/>
      <c r="K22" s="37"/>
      <c r="L22" s="39"/>
    </row>
    <row r="23" spans="1:12" ht="51">
      <c r="A23" s="48" t="s">
        <v>49</v>
      </c>
      <c r="B23" s="49" t="s">
        <v>1365</v>
      </c>
      <c r="C23" s="50" t="s">
        <v>29</v>
      </c>
      <c r="D23" s="62">
        <v>100</v>
      </c>
      <c r="E23" s="51"/>
      <c r="F23" s="51">
        <f>Tabela11[[#This Row],[Ilość]]*Tabela11[[#This Row],[C.j. netto]]</f>
        <v>0</v>
      </c>
      <c r="G23" s="37"/>
      <c r="H23" s="38"/>
      <c r="I23" s="37"/>
      <c r="J23" s="37"/>
      <c r="K23" s="37"/>
      <c r="L23" s="39"/>
    </row>
    <row r="24" spans="1:12" ht="63.75">
      <c r="A24" s="48" t="s">
        <v>50</v>
      </c>
      <c r="B24" s="49" t="s">
        <v>1367</v>
      </c>
      <c r="C24" s="50" t="s">
        <v>29</v>
      </c>
      <c r="D24" s="50">
        <v>10</v>
      </c>
      <c r="E24" s="51"/>
      <c r="F24" s="51">
        <f>Tabela11[[#This Row],[Ilość]]*Tabela11[[#This Row],[C.j. netto]]</f>
        <v>0</v>
      </c>
      <c r="G24" s="37"/>
      <c r="H24" s="38"/>
      <c r="I24" s="37"/>
      <c r="J24" s="37"/>
      <c r="K24" s="37"/>
      <c r="L24" s="39"/>
    </row>
    <row r="25" spans="1:12" ht="63.75">
      <c r="A25" s="48" t="s">
        <v>52</v>
      </c>
      <c r="B25" s="49" t="s">
        <v>228</v>
      </c>
      <c r="C25" s="50" t="s">
        <v>29</v>
      </c>
      <c r="D25" s="50">
        <v>30</v>
      </c>
      <c r="E25" s="51"/>
      <c r="F25" s="51">
        <f>Tabela11[[#This Row],[Ilość]]*Tabela11[[#This Row],[C.j. netto]]</f>
        <v>0</v>
      </c>
      <c r="G25" s="37"/>
      <c r="H25" s="38"/>
      <c r="I25" s="37"/>
      <c r="J25" s="37"/>
      <c r="K25" s="37"/>
      <c r="L25" s="39"/>
    </row>
    <row r="26" spans="1:12" ht="63.75">
      <c r="A26" s="48" t="s">
        <v>54</v>
      </c>
      <c r="B26" s="49" t="s">
        <v>229</v>
      </c>
      <c r="C26" s="50" t="s">
        <v>29</v>
      </c>
      <c r="D26" s="50">
        <v>20</v>
      </c>
      <c r="E26" s="51"/>
      <c r="F26" s="51">
        <f>Tabela11[[#This Row],[Ilość]]*Tabela11[[#This Row],[C.j. netto]]</f>
        <v>0</v>
      </c>
      <c r="G26" s="37"/>
      <c r="H26" s="38"/>
      <c r="I26" s="37"/>
      <c r="J26" s="37"/>
      <c r="K26" s="37"/>
      <c r="L26" s="39"/>
    </row>
    <row r="27" spans="1:12" ht="63.75">
      <c r="A27" s="48" t="s">
        <v>56</v>
      </c>
      <c r="B27" s="49" t="s">
        <v>230</v>
      </c>
      <c r="C27" s="50" t="s">
        <v>29</v>
      </c>
      <c r="D27" s="50">
        <v>30</v>
      </c>
      <c r="E27" s="51"/>
      <c r="F27" s="51">
        <f>Tabela11[[#This Row],[Ilość]]*Tabela11[[#This Row],[C.j. netto]]</f>
        <v>0</v>
      </c>
      <c r="G27" s="37"/>
      <c r="H27" s="38"/>
      <c r="I27" s="37"/>
      <c r="J27" s="37"/>
      <c r="K27" s="37"/>
      <c r="L27" s="39"/>
    </row>
    <row r="28" spans="1:12" ht="63.75">
      <c r="A28" s="48" t="s">
        <v>57</v>
      </c>
      <c r="B28" s="49" t="s">
        <v>231</v>
      </c>
      <c r="C28" s="50" t="s">
        <v>29</v>
      </c>
      <c r="D28" s="50">
        <v>500</v>
      </c>
      <c r="E28" s="51"/>
      <c r="F28" s="51">
        <f>Tabela11[[#This Row],[Ilość]]*Tabela11[[#This Row],[C.j. netto]]</f>
        <v>0</v>
      </c>
      <c r="G28" s="37"/>
      <c r="H28" s="38"/>
      <c r="I28" s="37"/>
      <c r="J28" s="37"/>
      <c r="K28" s="37"/>
      <c r="L28" s="39"/>
    </row>
    <row r="29" spans="1:12" ht="63.75">
      <c r="A29" s="48" t="s">
        <v>59</v>
      </c>
      <c r="B29" s="49" t="s">
        <v>232</v>
      </c>
      <c r="C29" s="50" t="s">
        <v>29</v>
      </c>
      <c r="D29" s="50">
        <v>300</v>
      </c>
      <c r="E29" s="51"/>
      <c r="F29" s="51">
        <f>Tabela11[[#This Row],[Ilość]]*Tabela11[[#This Row],[C.j. netto]]</f>
        <v>0</v>
      </c>
      <c r="G29" s="37"/>
      <c r="H29" s="38"/>
      <c r="I29" s="37"/>
      <c r="J29" s="37"/>
      <c r="K29" s="37"/>
      <c r="L29" s="39"/>
    </row>
    <row r="30" spans="1:12" ht="118.15" customHeight="1">
      <c r="A30" s="48" t="s">
        <v>61</v>
      </c>
      <c r="B30" s="49" t="s">
        <v>1352</v>
      </c>
      <c r="C30" s="50" t="s">
        <v>16</v>
      </c>
      <c r="D30" s="50">
        <v>10</v>
      </c>
      <c r="E30" s="51"/>
      <c r="F30" s="51">
        <f>Tabela11[[#This Row],[Ilość]]*Tabela11[[#This Row],[C.j. netto]]</f>
        <v>0</v>
      </c>
      <c r="G30" s="37"/>
      <c r="H30" s="38"/>
      <c r="I30" s="37"/>
      <c r="J30" s="37"/>
      <c r="K30" s="37"/>
      <c r="L30" s="39"/>
    </row>
    <row r="31" spans="1:12" ht="63.75">
      <c r="A31" s="48" t="s">
        <v>63</v>
      </c>
      <c r="B31" s="49" t="s">
        <v>233</v>
      </c>
      <c r="C31" s="50" t="s">
        <v>29</v>
      </c>
      <c r="D31" s="50">
        <v>10</v>
      </c>
      <c r="E31" s="51"/>
      <c r="F31" s="51">
        <f>Tabela11[[#This Row],[Ilość]]*Tabela11[[#This Row],[C.j. netto]]</f>
        <v>0</v>
      </c>
      <c r="G31" s="37"/>
      <c r="H31" s="38"/>
      <c r="I31" s="37"/>
      <c r="J31" s="37"/>
      <c r="K31" s="37"/>
      <c r="L31" s="39"/>
    </row>
    <row r="32" spans="1:12" ht="63.75">
      <c r="A32" s="48" t="s">
        <v>65</v>
      </c>
      <c r="B32" s="49" t="s">
        <v>234</v>
      </c>
      <c r="C32" s="50" t="s">
        <v>29</v>
      </c>
      <c r="D32" s="50">
        <v>150</v>
      </c>
      <c r="E32" s="51"/>
      <c r="F32" s="51">
        <f>Tabela11[[#This Row],[Ilość]]*Tabela11[[#This Row],[C.j. netto]]</f>
        <v>0</v>
      </c>
      <c r="G32" s="37"/>
      <c r="H32" s="38"/>
      <c r="I32" s="37"/>
      <c r="J32" s="37"/>
      <c r="K32" s="37"/>
      <c r="L32" s="39"/>
    </row>
    <row r="33" spans="1:12" ht="63.75">
      <c r="A33" s="48" t="s">
        <v>67</v>
      </c>
      <c r="B33" s="49" t="s">
        <v>235</v>
      </c>
      <c r="C33" s="50" t="s">
        <v>29</v>
      </c>
      <c r="D33" s="50">
        <v>280</v>
      </c>
      <c r="E33" s="51"/>
      <c r="F33" s="51">
        <f>Tabela11[[#This Row],[Ilość]]*Tabela11[[#This Row],[C.j. netto]]</f>
        <v>0</v>
      </c>
      <c r="G33" s="37"/>
      <c r="H33" s="38"/>
      <c r="I33" s="37"/>
      <c r="J33" s="37"/>
      <c r="K33" s="37"/>
      <c r="L33" s="39"/>
    </row>
    <row r="34" spans="1:12" ht="63.75">
      <c r="A34" s="48" t="s">
        <v>69</v>
      </c>
      <c r="B34" s="49" t="s">
        <v>236</v>
      </c>
      <c r="C34" s="50" t="s">
        <v>29</v>
      </c>
      <c r="D34" s="50">
        <v>440</v>
      </c>
      <c r="E34" s="51"/>
      <c r="F34" s="51">
        <f>Tabela11[[#This Row],[Ilość]]*Tabela11[[#This Row],[C.j. netto]]</f>
        <v>0</v>
      </c>
      <c r="G34" s="37"/>
      <c r="H34" s="38"/>
      <c r="I34" s="37"/>
      <c r="J34" s="37"/>
      <c r="K34" s="37"/>
      <c r="L34" s="39"/>
    </row>
    <row r="35" spans="1:12" ht="76.5">
      <c r="A35" s="48" t="s">
        <v>71</v>
      </c>
      <c r="B35" s="49" t="s">
        <v>237</v>
      </c>
      <c r="C35" s="50" t="s">
        <v>29</v>
      </c>
      <c r="D35" s="50">
        <v>800</v>
      </c>
      <c r="E35" s="51"/>
      <c r="F35" s="51">
        <f>Tabela11[[#This Row],[Ilość]]*Tabela11[[#This Row],[C.j. netto]]</f>
        <v>0</v>
      </c>
      <c r="G35" s="37"/>
      <c r="H35" s="38"/>
      <c r="I35" s="37"/>
      <c r="J35" s="37"/>
      <c r="K35" s="37"/>
      <c r="L35" s="39"/>
    </row>
    <row r="36" spans="1:12">
      <c r="A36" s="13" t="s">
        <v>118</v>
      </c>
      <c r="B36" s="14"/>
      <c r="C36" s="26"/>
      <c r="D36" s="26"/>
      <c r="E36" s="15"/>
      <c r="F36" s="63">
        <f>SUBTOTAL(109,Tabela11[Wartość netto])</f>
        <v>0</v>
      </c>
      <c r="G36" s="15"/>
      <c r="H36" s="26"/>
      <c r="I36" s="15"/>
      <c r="J36" s="15"/>
      <c r="K36" s="15"/>
      <c r="L36" s="16"/>
    </row>
    <row r="38" spans="1:12" ht="30" customHeight="1"/>
    <row r="39" spans="1:12" ht="30" customHeight="1">
      <c r="A39" s="10" t="s">
        <v>115</v>
      </c>
      <c r="B39" s="5"/>
    </row>
    <row r="40" spans="1:12" ht="30" customHeight="1">
      <c r="A40" s="11" t="s">
        <v>116</v>
      </c>
      <c r="B40" s="5"/>
      <c r="L40" s="17"/>
    </row>
    <row r="41" spans="1:12" ht="15">
      <c r="A41" s="11" t="s">
        <v>117</v>
      </c>
      <c r="B41" s="5"/>
      <c r="L41" s="32" t="s">
        <v>119</v>
      </c>
    </row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21C41-F9F6-467B-AB5D-EDEA224557BB}">
  <sheetPr>
    <pageSetUpPr fitToPage="1"/>
  </sheetPr>
  <dimension ref="A1:M59"/>
  <sheetViews>
    <sheetView workbookViewId="0">
      <selection activeCell="C71" sqref="C71"/>
    </sheetView>
    <sheetView workbookViewId="1"/>
    <sheetView workbookViewId="2">
      <selection activeCell="E21" sqref="E21"/>
    </sheetView>
  </sheetViews>
  <sheetFormatPr defaultRowHeight="14.25"/>
  <cols>
    <col min="1" max="1" width="14.125" customWidth="1"/>
    <col min="2" max="2" width="49.625" style="6" customWidth="1"/>
    <col min="3" max="4" width="8.875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245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84" t="s">
        <v>0</v>
      </c>
      <c r="B8" s="85" t="s">
        <v>15</v>
      </c>
      <c r="C8" s="85" t="s">
        <v>1</v>
      </c>
      <c r="D8" s="86" t="s">
        <v>2</v>
      </c>
      <c r="E8" s="87" t="s">
        <v>9</v>
      </c>
      <c r="F8" s="87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94" t="s">
        <v>4</v>
      </c>
      <c r="B9" s="93" t="s">
        <v>1363</v>
      </c>
      <c r="C9" s="92" t="s">
        <v>1364</v>
      </c>
      <c r="D9" s="99">
        <v>60</v>
      </c>
      <c r="E9" s="95"/>
      <c r="F9" s="95">
        <f>Tabela12[[#This Row],[Ilość]]*Tabela12[[#This Row],[C.j. netto]]</f>
        <v>0</v>
      </c>
      <c r="G9" s="83"/>
      <c r="H9" s="38"/>
      <c r="I9" s="37"/>
      <c r="J9" s="37"/>
      <c r="K9" s="37"/>
      <c r="L9" s="39"/>
    </row>
    <row r="10" spans="1:13">
      <c r="A10" s="88"/>
      <c r="B10" s="89"/>
      <c r="C10" s="90"/>
      <c r="D10" s="90"/>
      <c r="E10" s="97"/>
      <c r="F10" s="91">
        <f>SUBTOTAL(109,Tabela12[Wartość netto])</f>
        <v>0</v>
      </c>
      <c r="G10" s="15"/>
      <c r="H10" s="26"/>
      <c r="I10" s="15"/>
      <c r="J10" s="15"/>
      <c r="K10" s="15"/>
      <c r="L10" s="16"/>
    </row>
    <row r="13" spans="1:13" ht="30">
      <c r="A13" s="10" t="s">
        <v>115</v>
      </c>
      <c r="B13" s="5"/>
    </row>
    <row r="14" spans="1:13" ht="15">
      <c r="A14" s="11" t="s">
        <v>116</v>
      </c>
      <c r="B14" s="5"/>
      <c r="L14" s="17"/>
    </row>
    <row r="15" spans="1:13" ht="15">
      <c r="A15" s="11" t="s">
        <v>117</v>
      </c>
      <c r="B15" s="5"/>
      <c r="L15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2754-0D59-4170-B7D5-A4AD86F0D59C}">
  <sheetPr>
    <pageSetUpPr fitToPage="1"/>
  </sheetPr>
  <dimension ref="A1:M59"/>
  <sheetViews>
    <sheetView workbookViewId="0">
      <selection activeCell="E9" sqref="E9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246</v>
      </c>
      <c r="B1" s="20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84" t="s">
        <v>0</v>
      </c>
      <c r="B8" s="85" t="s">
        <v>15</v>
      </c>
      <c r="C8" s="85" t="s">
        <v>1</v>
      </c>
      <c r="D8" s="86" t="s">
        <v>2</v>
      </c>
      <c r="E8" s="87" t="s">
        <v>9</v>
      </c>
      <c r="F8" s="87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38.25">
      <c r="A9" s="94" t="s">
        <v>4</v>
      </c>
      <c r="B9" s="93" t="s">
        <v>1073</v>
      </c>
      <c r="C9" s="92" t="s">
        <v>16</v>
      </c>
      <c r="D9" s="99">
        <v>55</v>
      </c>
      <c r="E9" s="95"/>
      <c r="F9" s="95">
        <f>Tabela13[[#This Row],[Ilość]]*Tabela13[[#This Row],[C.j. netto]]</f>
        <v>0</v>
      </c>
      <c r="G9" s="83"/>
      <c r="H9" s="38"/>
      <c r="I9" s="37"/>
      <c r="J9" s="37"/>
      <c r="K9" s="37"/>
      <c r="L9" s="39"/>
    </row>
    <row r="10" spans="1:13">
      <c r="A10" s="88"/>
      <c r="B10" s="89"/>
      <c r="C10" s="90"/>
      <c r="D10" s="90"/>
      <c r="E10" s="97"/>
      <c r="F10" s="91">
        <f>SUBTOTAL(109,Tabela13[Wartość netto])</f>
        <v>0</v>
      </c>
      <c r="G10" s="15"/>
      <c r="H10" s="26"/>
      <c r="I10" s="15"/>
      <c r="J10" s="15"/>
      <c r="K10" s="15"/>
      <c r="L10" s="16"/>
    </row>
    <row r="12" spans="1:13" ht="30">
      <c r="A12" s="10" t="s">
        <v>115</v>
      </c>
      <c r="B12" s="5"/>
    </row>
    <row r="13" spans="1:13" ht="15">
      <c r="A13" s="11" t="s">
        <v>116</v>
      </c>
      <c r="B13" s="5"/>
      <c r="L13" s="17"/>
    </row>
    <row r="14" spans="1:13" ht="15">
      <c r="A14" s="11" t="s">
        <v>117</v>
      </c>
      <c r="B14" s="5"/>
      <c r="L14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F4C6-3EE3-4E90-9EDD-DB9BA78B9CB4}">
  <sheetPr>
    <pageSetUpPr fitToPage="1"/>
  </sheetPr>
  <dimension ref="A1:M59"/>
  <sheetViews>
    <sheetView workbookViewId="0">
      <selection activeCell="E27" sqref="E27"/>
    </sheetView>
    <sheetView workbookViewId="1"/>
    <sheetView workbookViewId="2">
      <selection activeCell="E9" sqref="E9:E14"/>
    </sheetView>
  </sheetViews>
  <sheetFormatPr defaultRowHeight="14.25"/>
  <cols>
    <col min="1" max="1" width="14.125" customWidth="1"/>
    <col min="2" max="2" width="54.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247</v>
      </c>
      <c r="B1" s="20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203" t="s">
        <v>4</v>
      </c>
      <c r="B9" s="34" t="s">
        <v>244</v>
      </c>
      <c r="C9" s="35" t="s">
        <v>29</v>
      </c>
      <c r="D9" s="64">
        <v>20</v>
      </c>
      <c r="E9" s="36"/>
      <c r="F9" s="36">
        <f>Tabela14[[#This Row],[Ilość]]*Tabela14[[#This Row],[C.j. netto]]</f>
        <v>0</v>
      </c>
      <c r="G9" s="37"/>
      <c r="H9" s="38"/>
      <c r="I9" s="37"/>
      <c r="J9" s="37"/>
      <c r="K9" s="37"/>
      <c r="L9" s="39"/>
    </row>
    <row r="10" spans="1:13">
      <c r="A10" s="33" t="s">
        <v>5</v>
      </c>
      <c r="B10" s="34" t="s">
        <v>239</v>
      </c>
      <c r="C10" s="35" t="s">
        <v>29</v>
      </c>
      <c r="D10" s="64">
        <v>30</v>
      </c>
      <c r="E10" s="36"/>
      <c r="F10" s="36">
        <f>Tabela14[[#This Row],[Ilość]]*Tabela14[[#This Row],[C.j. netto]]</f>
        <v>0</v>
      </c>
      <c r="G10" s="37"/>
      <c r="H10" s="38"/>
      <c r="I10" s="37"/>
      <c r="J10" s="37"/>
      <c r="K10" s="37"/>
      <c r="L10" s="39"/>
    </row>
    <row r="11" spans="1:13">
      <c r="A11" s="33" t="s">
        <v>6</v>
      </c>
      <c r="B11" s="34" t="s">
        <v>240</v>
      </c>
      <c r="C11" s="35" t="s">
        <v>29</v>
      </c>
      <c r="D11" s="64">
        <v>90</v>
      </c>
      <c r="E11" s="36"/>
      <c r="F11" s="36">
        <f>Tabela14[[#This Row],[Ilość]]*Tabela14[[#This Row],[C.j. netto]]</f>
        <v>0</v>
      </c>
      <c r="G11" s="37"/>
      <c r="H11" s="38"/>
      <c r="I11" s="37"/>
      <c r="J11" s="37"/>
      <c r="K11" s="37"/>
      <c r="L11" s="39"/>
    </row>
    <row r="12" spans="1:13">
      <c r="A12" s="33" t="s">
        <v>26</v>
      </c>
      <c r="B12" s="34" t="s">
        <v>241</v>
      </c>
      <c r="C12" s="35" t="s">
        <v>29</v>
      </c>
      <c r="D12" s="64">
        <v>40</v>
      </c>
      <c r="E12" s="36"/>
      <c r="F12" s="36">
        <f>Tabela14[[#This Row],[Ilość]]*Tabela14[[#This Row],[C.j. netto]]</f>
        <v>0</v>
      </c>
      <c r="G12" s="37"/>
      <c r="H12" s="38"/>
      <c r="I12" s="37"/>
      <c r="J12" s="37"/>
      <c r="K12" s="37"/>
      <c r="L12" s="39"/>
    </row>
    <row r="13" spans="1:13">
      <c r="A13" s="33" t="s">
        <v>27</v>
      </c>
      <c r="B13" s="34" t="s">
        <v>242</v>
      </c>
      <c r="C13" s="35" t="s">
        <v>106</v>
      </c>
      <c r="D13" s="64">
        <v>50</v>
      </c>
      <c r="E13" s="36"/>
      <c r="F13" s="36">
        <f>Tabela14[[#This Row],[Ilość]]*Tabela14[[#This Row],[C.j. netto]]</f>
        <v>0</v>
      </c>
      <c r="G13" s="37"/>
      <c r="H13" s="38"/>
      <c r="I13" s="37"/>
      <c r="J13" s="37"/>
      <c r="K13" s="37"/>
      <c r="L13" s="39"/>
    </row>
    <row r="14" spans="1:13">
      <c r="A14" s="33" t="s">
        <v>32</v>
      </c>
      <c r="B14" s="34" t="s">
        <v>243</v>
      </c>
      <c r="C14" s="35" t="s">
        <v>106</v>
      </c>
      <c r="D14" s="64">
        <v>40</v>
      </c>
      <c r="E14" s="36"/>
      <c r="F14" s="36">
        <f>Tabela14[[#This Row],[Ilość]]*Tabela14[[#This Row],[C.j. netto]]</f>
        <v>0</v>
      </c>
      <c r="G14" s="37"/>
      <c r="H14" s="38"/>
      <c r="I14" s="37"/>
      <c r="J14" s="37"/>
      <c r="K14" s="37"/>
      <c r="L14" s="39"/>
    </row>
    <row r="15" spans="1:13">
      <c r="A15" s="13" t="s">
        <v>118</v>
      </c>
      <c r="B15" s="14"/>
      <c r="C15" s="26"/>
      <c r="D15" s="26"/>
      <c r="E15" s="15"/>
      <c r="F15" s="31">
        <f>SUBTOTAL(109,Tabela14[Wartość netto])</f>
        <v>0</v>
      </c>
      <c r="G15" s="15"/>
      <c r="H15" s="26"/>
      <c r="I15" s="15"/>
      <c r="J15" s="15"/>
      <c r="K15" s="15"/>
      <c r="L15" s="16"/>
    </row>
    <row r="18" spans="1:12" ht="30">
      <c r="A18" s="10" t="s">
        <v>115</v>
      </c>
      <c r="B18" s="5"/>
    </row>
    <row r="19" spans="1:12" ht="15">
      <c r="A19" s="11" t="s">
        <v>116</v>
      </c>
      <c r="B19" s="5"/>
      <c r="L19" s="17"/>
    </row>
    <row r="20" spans="1:12" ht="15">
      <c r="A20" s="11" t="s">
        <v>117</v>
      </c>
      <c r="B20" s="5"/>
      <c r="L20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71488-E7DF-4129-BA0E-43D08C80C1F2}">
  <sheetPr>
    <pageSetUpPr fitToPage="1"/>
  </sheetPr>
  <dimension ref="A1:M17"/>
  <sheetViews>
    <sheetView workbookViewId="0">
      <selection activeCell="I28" sqref="I28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248</v>
      </c>
      <c r="B1" s="19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48" t="s">
        <v>4</v>
      </c>
      <c r="B9" s="53" t="s">
        <v>249</v>
      </c>
      <c r="C9" s="50" t="s">
        <v>29</v>
      </c>
      <c r="D9" s="50">
        <v>4</v>
      </c>
      <c r="E9" s="52"/>
      <c r="F9" s="54">
        <f>Tabela15[[#This Row],[Ilość]]*Tabela15[[#This Row],[C.j. netto]]</f>
        <v>0</v>
      </c>
      <c r="G9" s="37"/>
      <c r="H9" s="38"/>
      <c r="I9" s="37"/>
      <c r="J9" s="37"/>
      <c r="K9" s="37"/>
      <c r="L9" s="39"/>
    </row>
    <row r="10" spans="1:13">
      <c r="A10" s="13" t="s">
        <v>118</v>
      </c>
      <c r="B10" s="14"/>
      <c r="C10" s="26"/>
      <c r="D10" s="26"/>
      <c r="E10" s="29"/>
      <c r="F10" s="31">
        <f>SUBTOTAL(109,Tabela15[Wartość netto])</f>
        <v>0</v>
      </c>
      <c r="G10" s="15"/>
      <c r="H10" s="30"/>
      <c r="I10" s="15"/>
      <c r="J10" s="15"/>
      <c r="K10" s="15"/>
      <c r="L10" s="16"/>
    </row>
    <row r="11" spans="1:13">
      <c r="A11" s="27"/>
      <c r="E11" s="55"/>
      <c r="F11" s="28"/>
      <c r="H11" s="56"/>
    </row>
    <row r="12" spans="1:13" ht="15">
      <c r="A12" s="47"/>
    </row>
    <row r="14" spans="1:13" ht="30">
      <c r="A14" s="10" t="s">
        <v>115</v>
      </c>
      <c r="B14" s="5"/>
    </row>
    <row r="15" spans="1:13" ht="30" customHeight="1">
      <c r="A15" s="11" t="s">
        <v>116</v>
      </c>
      <c r="B15" s="5"/>
      <c r="L15" s="17"/>
    </row>
    <row r="16" spans="1:13" ht="30" customHeight="1">
      <c r="A16" s="11" t="s">
        <v>117</v>
      </c>
      <c r="B16" s="5"/>
      <c r="L16" s="32" t="s">
        <v>119</v>
      </c>
    </row>
    <row r="17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6B283-6942-4908-A0B1-92CE24CC262C}">
  <sheetPr>
    <pageSetUpPr fitToPage="1"/>
  </sheetPr>
  <dimension ref="A1:M52"/>
  <sheetViews>
    <sheetView workbookViewId="0">
      <selection activeCell="G31" sqref="G31"/>
    </sheetView>
    <sheetView workbookViewId="1">
      <selection activeCell="B22" sqref="B22"/>
    </sheetView>
    <sheetView workbookViewId="2">
      <selection activeCell="E9" sqref="E9:E21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250</v>
      </c>
      <c r="B1" s="19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202" t="s">
        <v>4</v>
      </c>
      <c r="B9" s="57" t="s">
        <v>251</v>
      </c>
      <c r="C9" s="35" t="s">
        <v>29</v>
      </c>
      <c r="D9" s="64">
        <v>350</v>
      </c>
      <c r="E9" s="36"/>
      <c r="F9" s="36">
        <f>Tabela16[[#This Row],[Ilość]]*Tabela16[[#This Row],[C.j. netto]]</f>
        <v>0</v>
      </c>
      <c r="G9" s="37"/>
      <c r="H9" s="38"/>
      <c r="I9" s="37"/>
      <c r="J9" s="37"/>
      <c r="K9" s="37"/>
      <c r="L9" s="37"/>
    </row>
    <row r="10" spans="1:13" ht="25.5">
      <c r="A10" s="202" t="s">
        <v>5</v>
      </c>
      <c r="B10" s="57" t="s">
        <v>252</v>
      </c>
      <c r="C10" s="35" t="s">
        <v>29</v>
      </c>
      <c r="D10" s="64">
        <v>30</v>
      </c>
      <c r="E10" s="36"/>
      <c r="F10" s="36">
        <f>Tabela16[[#This Row],[Ilość]]*Tabela16[[#This Row],[C.j. netto]]</f>
        <v>0</v>
      </c>
      <c r="G10" s="37"/>
      <c r="H10" s="38"/>
      <c r="I10" s="37"/>
      <c r="J10" s="37"/>
      <c r="K10" s="37"/>
      <c r="L10" s="37"/>
    </row>
    <row r="11" spans="1:13">
      <c r="A11" s="202" t="s">
        <v>6</v>
      </c>
      <c r="B11" s="57" t="s">
        <v>253</v>
      </c>
      <c r="C11" s="35" t="s">
        <v>103</v>
      </c>
      <c r="D11" s="64">
        <v>30</v>
      </c>
      <c r="E11" s="36"/>
      <c r="F11" s="36">
        <f>Tabela16[[#This Row],[Ilość]]*Tabela16[[#This Row],[C.j. netto]]</f>
        <v>0</v>
      </c>
      <c r="G11" s="37"/>
      <c r="H11" s="38"/>
      <c r="I11" s="37"/>
      <c r="J11" s="37"/>
      <c r="K11" s="37"/>
      <c r="L11" s="37"/>
    </row>
    <row r="12" spans="1:13" ht="25.5">
      <c r="A12" s="202" t="s">
        <v>26</v>
      </c>
      <c r="B12" s="57" t="s">
        <v>254</v>
      </c>
      <c r="C12" s="35" t="s">
        <v>29</v>
      </c>
      <c r="D12" s="64">
        <v>8</v>
      </c>
      <c r="E12" s="36"/>
      <c r="F12" s="36">
        <f>Tabela16[[#This Row],[Ilość]]*Tabela16[[#This Row],[C.j. netto]]</f>
        <v>0</v>
      </c>
      <c r="G12" s="37"/>
      <c r="H12" s="38"/>
      <c r="I12" s="37"/>
      <c r="J12" s="37"/>
      <c r="K12" s="37"/>
      <c r="L12" s="37"/>
    </row>
    <row r="13" spans="1:13" ht="25.5">
      <c r="A13" s="202" t="s">
        <v>27</v>
      </c>
      <c r="B13" s="57" t="s">
        <v>255</v>
      </c>
      <c r="C13" s="35" t="s">
        <v>29</v>
      </c>
      <c r="D13" s="64">
        <v>8</v>
      </c>
      <c r="E13" s="36"/>
      <c r="F13" s="36">
        <f>Tabela16[[#This Row],[Ilość]]*Tabela16[[#This Row],[C.j. netto]]</f>
        <v>0</v>
      </c>
      <c r="G13" s="37"/>
      <c r="H13" s="38"/>
      <c r="I13" s="37"/>
      <c r="J13" s="37"/>
      <c r="K13" s="37"/>
      <c r="L13" s="37"/>
    </row>
    <row r="14" spans="1:13">
      <c r="A14" s="202" t="s">
        <v>32</v>
      </c>
      <c r="B14" s="57" t="s">
        <v>1287</v>
      </c>
      <c r="C14" s="35" t="s">
        <v>29</v>
      </c>
      <c r="D14" s="64">
        <v>30</v>
      </c>
      <c r="E14" s="36"/>
      <c r="F14" s="36">
        <f>Tabela16[[#This Row],[Ilość]]*Tabela16[[#This Row],[C.j. netto]]</f>
        <v>0</v>
      </c>
      <c r="G14" s="37"/>
      <c r="H14" s="38"/>
      <c r="I14" s="37"/>
      <c r="J14" s="37"/>
      <c r="K14" s="37"/>
      <c r="L14" s="37"/>
    </row>
    <row r="15" spans="1:13">
      <c r="A15" s="202" t="s">
        <v>34</v>
      </c>
      <c r="B15" s="57" t="s">
        <v>256</v>
      </c>
      <c r="C15" s="35" t="s">
        <v>29</v>
      </c>
      <c r="D15" s="64">
        <v>10</v>
      </c>
      <c r="E15" s="36"/>
      <c r="F15" s="36">
        <f>Tabela16[[#This Row],[Ilość]]*Tabela16[[#This Row],[C.j. netto]]</f>
        <v>0</v>
      </c>
      <c r="G15" s="37"/>
      <c r="H15" s="38"/>
      <c r="I15" s="37"/>
      <c r="J15" s="37"/>
      <c r="K15" s="37"/>
      <c r="L15" s="37"/>
    </row>
    <row r="16" spans="1:13" ht="25.5">
      <c r="A16" s="202" t="s">
        <v>36</v>
      </c>
      <c r="B16" s="57" t="s">
        <v>257</v>
      </c>
      <c r="C16" s="35" t="s">
        <v>29</v>
      </c>
      <c r="D16" s="64">
        <v>5</v>
      </c>
      <c r="E16" s="36"/>
      <c r="F16" s="36">
        <f>Tabela16[[#This Row],[Ilość]]*Tabela16[[#This Row],[C.j. netto]]</f>
        <v>0</v>
      </c>
      <c r="G16" s="37"/>
      <c r="H16" s="38"/>
      <c r="I16" s="37"/>
      <c r="J16" s="37"/>
      <c r="K16" s="37"/>
      <c r="L16" s="37"/>
    </row>
    <row r="17" spans="1:12" ht="25.5">
      <c r="A17" s="202" t="s">
        <v>38</v>
      </c>
      <c r="B17" s="57" t="s">
        <v>262</v>
      </c>
      <c r="C17" s="35" t="s">
        <v>103</v>
      </c>
      <c r="D17" s="64">
        <v>30</v>
      </c>
      <c r="E17" s="36"/>
      <c r="F17" s="36">
        <f>Tabela16[[#This Row],[Ilość]]*Tabela16[[#This Row],[C.j. netto]]</f>
        <v>0</v>
      </c>
      <c r="G17" s="37"/>
      <c r="H17" s="38"/>
      <c r="I17" s="37"/>
      <c r="J17" s="37"/>
      <c r="K17" s="37"/>
      <c r="L17" s="37"/>
    </row>
    <row r="18" spans="1:12">
      <c r="A18" s="202" t="s">
        <v>40</v>
      </c>
      <c r="B18" s="57" t="s">
        <v>258</v>
      </c>
      <c r="C18" s="35" t="s">
        <v>29</v>
      </c>
      <c r="D18" s="64">
        <v>450</v>
      </c>
      <c r="E18" s="36"/>
      <c r="F18" s="36">
        <f>Tabela16[[#This Row],[Ilość]]*Tabela16[[#This Row],[C.j. netto]]</f>
        <v>0</v>
      </c>
      <c r="G18" s="37"/>
      <c r="H18" s="38"/>
      <c r="I18" s="37"/>
      <c r="J18" s="37"/>
      <c r="K18" s="37"/>
      <c r="L18" s="37"/>
    </row>
    <row r="19" spans="1:12">
      <c r="A19" s="202" t="s">
        <v>42</v>
      </c>
      <c r="B19" s="57" t="s">
        <v>259</v>
      </c>
      <c r="C19" s="35" t="s">
        <v>29</v>
      </c>
      <c r="D19" s="35">
        <v>18</v>
      </c>
      <c r="E19" s="36"/>
      <c r="F19" s="36">
        <f>Tabela16[[#This Row],[Ilość]]*Tabela16[[#This Row],[C.j. netto]]</f>
        <v>0</v>
      </c>
      <c r="G19" s="37"/>
      <c r="H19" s="38"/>
      <c r="I19" s="37"/>
      <c r="J19" s="37"/>
      <c r="K19" s="37"/>
      <c r="L19" s="37"/>
    </row>
    <row r="20" spans="1:12">
      <c r="A20" s="202" t="s">
        <v>45</v>
      </c>
      <c r="B20" s="57" t="s">
        <v>260</v>
      </c>
      <c r="C20" s="35" t="s">
        <v>29</v>
      </c>
      <c r="D20" s="35">
        <v>30</v>
      </c>
      <c r="E20" s="36"/>
      <c r="F20" s="36">
        <f>Tabela16[[#This Row],[Ilość]]*Tabela16[[#This Row],[C.j. netto]]</f>
        <v>0</v>
      </c>
      <c r="G20" s="37"/>
      <c r="H20" s="38"/>
      <c r="I20" s="37"/>
      <c r="J20" s="37"/>
      <c r="K20" s="37"/>
      <c r="L20" s="37"/>
    </row>
    <row r="21" spans="1:12" ht="25.5">
      <c r="A21" s="202" t="s">
        <v>47</v>
      </c>
      <c r="B21" s="57" t="s">
        <v>261</v>
      </c>
      <c r="C21" s="35" t="s">
        <v>29</v>
      </c>
      <c r="D21" s="35">
        <v>50</v>
      </c>
      <c r="E21" s="36"/>
      <c r="F21" s="36">
        <f>Tabela16[[#This Row],[Ilość]]*Tabela16[[#This Row],[C.j. netto]]</f>
        <v>0</v>
      </c>
      <c r="G21" s="37"/>
      <c r="H21" s="38"/>
      <c r="I21" s="37"/>
      <c r="J21" s="37"/>
      <c r="K21" s="37"/>
      <c r="L21" s="37"/>
    </row>
    <row r="22" spans="1:12">
      <c r="A22" s="9" t="s">
        <v>118</v>
      </c>
      <c r="B22" s="7"/>
      <c r="C22" s="25"/>
      <c r="D22" s="25"/>
      <c r="E22" s="12"/>
      <c r="F22" s="61">
        <f>SUBTOTAL(109,Tabela16[Wartość netto])</f>
        <v>0</v>
      </c>
      <c r="G22" s="12"/>
      <c r="H22" s="25"/>
      <c r="I22" s="12"/>
      <c r="J22" s="12"/>
      <c r="K22" s="12"/>
      <c r="L22" s="12"/>
    </row>
    <row r="23" spans="1:12">
      <c r="A23" s="27"/>
      <c r="B23" s="60"/>
      <c r="E23"/>
      <c r="F23" s="28"/>
      <c r="H23" s="24"/>
    </row>
    <row r="24" spans="1:12" ht="30">
      <c r="A24" s="10" t="s">
        <v>115</v>
      </c>
      <c r="B24" s="5"/>
    </row>
    <row r="25" spans="1:12" ht="15">
      <c r="A25" s="11" t="s">
        <v>116</v>
      </c>
      <c r="B25" s="5"/>
      <c r="L25" s="17"/>
    </row>
    <row r="26" spans="1:12" ht="15">
      <c r="A26" s="11" t="s">
        <v>117</v>
      </c>
      <c r="B26" s="5"/>
      <c r="L26" s="32" t="s">
        <v>119</v>
      </c>
    </row>
    <row r="49" ht="30" customHeight="1"/>
    <row r="50" ht="30" customHeight="1"/>
    <row r="51" ht="30" customHeight="1"/>
    <row r="52" ht="30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AD150-C208-4D28-BA4B-3065C7D7C2B2}">
  <sheetPr>
    <pageSetUpPr fitToPage="1"/>
  </sheetPr>
  <dimension ref="A1:M59"/>
  <sheetViews>
    <sheetView workbookViewId="0">
      <selection activeCell="E30" sqref="E30"/>
    </sheetView>
    <sheetView workbookViewId="1"/>
    <sheetView workbookViewId="2">
      <selection activeCell="E9" sqref="E9:E30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263</v>
      </c>
      <c r="B1" s="20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33" t="s">
        <v>4</v>
      </c>
      <c r="B9" s="34" t="s">
        <v>264</v>
      </c>
      <c r="C9" s="35" t="s">
        <v>29</v>
      </c>
      <c r="D9" s="64">
        <v>10</v>
      </c>
      <c r="E9" s="36"/>
      <c r="F9" s="36">
        <f>Tabela17[[#This Row],[Ilość]]*Tabela17[[#This Row],[C.j. netto]]</f>
        <v>0</v>
      </c>
      <c r="G9" s="37"/>
      <c r="H9" s="38"/>
      <c r="I9" s="37"/>
      <c r="J9" s="37"/>
      <c r="K9" s="37"/>
      <c r="L9" s="39"/>
    </row>
    <row r="10" spans="1:13">
      <c r="A10" s="33" t="s">
        <v>5</v>
      </c>
      <c r="B10" s="34" t="s">
        <v>265</v>
      </c>
      <c r="C10" s="35" t="s">
        <v>29</v>
      </c>
      <c r="D10" s="64">
        <v>10</v>
      </c>
      <c r="E10" s="36"/>
      <c r="F10" s="36">
        <f>Tabela17[[#This Row],[Ilość]]*Tabela17[[#This Row],[C.j. netto]]</f>
        <v>0</v>
      </c>
      <c r="G10" s="37"/>
      <c r="H10" s="38"/>
      <c r="I10" s="37"/>
      <c r="J10" s="37"/>
      <c r="K10" s="37"/>
      <c r="L10" s="39"/>
    </row>
    <row r="11" spans="1:13">
      <c r="A11" s="33" t="s">
        <v>6</v>
      </c>
      <c r="B11" s="34" t="s">
        <v>266</v>
      </c>
      <c r="C11" s="35" t="s">
        <v>29</v>
      </c>
      <c r="D11" s="64">
        <v>10</v>
      </c>
      <c r="E11" s="36"/>
      <c r="F11" s="36">
        <f>Tabela17[[#This Row],[Ilość]]*Tabela17[[#This Row],[C.j. netto]]</f>
        <v>0</v>
      </c>
      <c r="G11" s="37"/>
      <c r="H11" s="38"/>
      <c r="I11" s="37"/>
      <c r="J11" s="37"/>
      <c r="K11" s="37"/>
      <c r="L11" s="39"/>
    </row>
    <row r="12" spans="1:13">
      <c r="A12" s="33" t="s">
        <v>26</v>
      </c>
      <c r="B12" s="34" t="s">
        <v>267</v>
      </c>
      <c r="C12" s="35" t="s">
        <v>29</v>
      </c>
      <c r="D12" s="64">
        <v>80</v>
      </c>
      <c r="E12" s="36"/>
      <c r="F12" s="36">
        <f>Tabela17[[#This Row],[Ilość]]*Tabela17[[#This Row],[C.j. netto]]</f>
        <v>0</v>
      </c>
      <c r="G12" s="37"/>
      <c r="H12" s="38"/>
      <c r="I12" s="37"/>
      <c r="J12" s="37"/>
      <c r="K12" s="37"/>
      <c r="L12" s="39"/>
    </row>
    <row r="13" spans="1:13">
      <c r="A13" s="33" t="s">
        <v>27</v>
      </c>
      <c r="B13" s="34" t="s">
        <v>268</v>
      </c>
      <c r="C13" s="35" t="s">
        <v>16</v>
      </c>
      <c r="D13" s="64">
        <v>100</v>
      </c>
      <c r="E13" s="36"/>
      <c r="F13" s="36">
        <f>Tabela17[[#This Row],[Ilość]]*Tabela17[[#This Row],[C.j. netto]]</f>
        <v>0</v>
      </c>
      <c r="G13" s="37"/>
      <c r="H13" s="38"/>
      <c r="I13" s="37"/>
      <c r="J13" s="37"/>
      <c r="K13" s="37"/>
      <c r="L13" s="39"/>
    </row>
    <row r="14" spans="1:13">
      <c r="A14" s="33" t="s">
        <v>32</v>
      </c>
      <c r="B14" s="34" t="s">
        <v>269</v>
      </c>
      <c r="C14" s="35" t="s">
        <v>29</v>
      </c>
      <c r="D14" s="64">
        <v>200</v>
      </c>
      <c r="E14" s="36"/>
      <c r="F14" s="36">
        <f>Tabela17[[#This Row],[Ilość]]*Tabela17[[#This Row],[C.j. netto]]</f>
        <v>0</v>
      </c>
      <c r="G14" s="37"/>
      <c r="H14" s="38"/>
      <c r="I14" s="37"/>
      <c r="J14" s="37"/>
      <c r="K14" s="37"/>
      <c r="L14" s="39"/>
    </row>
    <row r="15" spans="1:13">
      <c r="A15" s="33" t="s">
        <v>34</v>
      </c>
      <c r="B15" s="34" t="s">
        <v>270</v>
      </c>
      <c r="C15" s="35" t="s">
        <v>29</v>
      </c>
      <c r="D15" s="64">
        <v>40</v>
      </c>
      <c r="E15" s="36"/>
      <c r="F15" s="36">
        <f>Tabela17[[#This Row],[Ilość]]*Tabela17[[#This Row],[C.j. netto]]</f>
        <v>0</v>
      </c>
      <c r="G15" s="37"/>
      <c r="H15" s="38"/>
      <c r="I15" s="37"/>
      <c r="J15" s="37"/>
      <c r="K15" s="37"/>
      <c r="L15" s="39"/>
    </row>
    <row r="16" spans="1:13">
      <c r="A16" s="33" t="s">
        <v>36</v>
      </c>
      <c r="B16" s="34" t="s">
        <v>271</v>
      </c>
      <c r="C16" s="35" t="s">
        <v>29</v>
      </c>
      <c r="D16" s="64">
        <v>220</v>
      </c>
      <c r="E16" s="36"/>
      <c r="F16" s="36">
        <f>Tabela17[[#This Row],[Ilość]]*Tabela17[[#This Row],[C.j. netto]]</f>
        <v>0</v>
      </c>
      <c r="G16" s="37"/>
      <c r="H16" s="38"/>
      <c r="I16" s="37"/>
      <c r="J16" s="37"/>
      <c r="K16" s="37"/>
      <c r="L16" s="39"/>
    </row>
    <row r="17" spans="1:12">
      <c r="A17" s="33" t="s">
        <v>38</v>
      </c>
      <c r="B17" s="34" t="s">
        <v>272</v>
      </c>
      <c r="C17" s="35" t="s">
        <v>29</v>
      </c>
      <c r="D17" s="64">
        <v>20</v>
      </c>
      <c r="E17" s="36"/>
      <c r="F17" s="36">
        <f>Tabela17[[#This Row],[Ilość]]*Tabela17[[#This Row],[C.j. netto]]</f>
        <v>0</v>
      </c>
      <c r="G17" s="37"/>
      <c r="H17" s="38"/>
      <c r="I17" s="37"/>
      <c r="J17" s="37"/>
      <c r="K17" s="37"/>
      <c r="L17" s="39"/>
    </row>
    <row r="18" spans="1:12">
      <c r="A18" s="33" t="s">
        <v>40</v>
      </c>
      <c r="B18" s="34" t="s">
        <v>273</v>
      </c>
      <c r="C18" s="35" t="s">
        <v>16</v>
      </c>
      <c r="D18" s="64">
        <v>15</v>
      </c>
      <c r="E18" s="36"/>
      <c r="F18" s="36">
        <f>Tabela17[[#This Row],[Ilość]]*Tabela17[[#This Row],[C.j. netto]]</f>
        <v>0</v>
      </c>
      <c r="G18" s="37"/>
      <c r="H18" s="38"/>
      <c r="I18" s="37"/>
      <c r="J18" s="37"/>
      <c r="K18" s="37"/>
      <c r="L18" s="39"/>
    </row>
    <row r="19" spans="1:12">
      <c r="A19" s="33" t="s">
        <v>42</v>
      </c>
      <c r="B19" s="34" t="s">
        <v>274</v>
      </c>
      <c r="C19" s="35" t="s">
        <v>29</v>
      </c>
      <c r="D19" s="64">
        <v>20</v>
      </c>
      <c r="E19" s="36"/>
      <c r="F19" s="36">
        <f>Tabela17[[#This Row],[Ilość]]*Tabela17[[#This Row],[C.j. netto]]</f>
        <v>0</v>
      </c>
      <c r="G19" s="37"/>
      <c r="H19" s="38"/>
      <c r="I19" s="37"/>
      <c r="J19" s="37"/>
      <c r="K19" s="37"/>
      <c r="L19" s="39"/>
    </row>
    <row r="20" spans="1:12">
      <c r="A20" s="33" t="s">
        <v>45</v>
      </c>
      <c r="B20" s="34" t="s">
        <v>275</v>
      </c>
      <c r="C20" s="35" t="s">
        <v>29</v>
      </c>
      <c r="D20" s="64">
        <v>80</v>
      </c>
      <c r="E20" s="36"/>
      <c r="F20" s="36">
        <f>Tabela17[[#This Row],[Ilość]]*Tabela17[[#This Row],[C.j. netto]]</f>
        <v>0</v>
      </c>
      <c r="G20" s="37"/>
      <c r="H20" s="38"/>
      <c r="I20" s="37"/>
      <c r="J20" s="37"/>
      <c r="K20" s="37"/>
      <c r="L20" s="39"/>
    </row>
    <row r="21" spans="1:12">
      <c r="A21" s="33" t="s">
        <v>47</v>
      </c>
      <c r="B21" s="34" t="s">
        <v>276</v>
      </c>
      <c r="C21" s="35" t="s">
        <v>29</v>
      </c>
      <c r="D21" s="64">
        <v>15</v>
      </c>
      <c r="E21" s="36"/>
      <c r="F21" s="36">
        <f>Tabela17[[#This Row],[Ilość]]*Tabela17[[#This Row],[C.j. netto]]</f>
        <v>0</v>
      </c>
      <c r="G21" s="37"/>
      <c r="H21" s="38"/>
      <c r="I21" s="37"/>
      <c r="J21" s="37"/>
      <c r="K21" s="37"/>
      <c r="L21" s="39"/>
    </row>
    <row r="22" spans="1:12">
      <c r="A22" s="33" t="s">
        <v>48</v>
      </c>
      <c r="B22" s="34" t="s">
        <v>277</v>
      </c>
      <c r="C22" s="35" t="s">
        <v>29</v>
      </c>
      <c r="D22" s="64">
        <v>30</v>
      </c>
      <c r="E22" s="36"/>
      <c r="F22" s="36">
        <f>Tabela17[[#This Row],[Ilość]]*Tabela17[[#This Row],[C.j. netto]]</f>
        <v>0</v>
      </c>
      <c r="G22" s="37"/>
      <c r="H22" s="38"/>
      <c r="I22" s="37"/>
      <c r="J22" s="37"/>
      <c r="K22" s="37"/>
      <c r="L22" s="39"/>
    </row>
    <row r="23" spans="1:12" ht="25.5">
      <c r="A23" s="33" t="s">
        <v>49</v>
      </c>
      <c r="B23" s="34" t="s">
        <v>278</v>
      </c>
      <c r="C23" s="35" t="s">
        <v>29</v>
      </c>
      <c r="D23" s="65">
        <v>10</v>
      </c>
      <c r="E23" s="36"/>
      <c r="F23" s="36">
        <f>Tabela17[[#This Row],[Ilość]]*Tabela17[[#This Row],[C.j. netto]]</f>
        <v>0</v>
      </c>
      <c r="G23" s="37"/>
      <c r="H23" s="38"/>
      <c r="I23" s="37"/>
      <c r="J23" s="37"/>
      <c r="K23" s="37"/>
      <c r="L23" s="39"/>
    </row>
    <row r="24" spans="1:12">
      <c r="A24" s="33" t="s">
        <v>50</v>
      </c>
      <c r="B24" s="34" t="s">
        <v>279</v>
      </c>
      <c r="C24" s="35" t="s">
        <v>29</v>
      </c>
      <c r="D24" s="64">
        <v>15</v>
      </c>
      <c r="E24" s="36"/>
      <c r="F24" s="36">
        <f>Tabela17[[#This Row],[Ilość]]*Tabela17[[#This Row],[C.j. netto]]</f>
        <v>0</v>
      </c>
      <c r="G24" s="37"/>
      <c r="H24" s="38"/>
      <c r="I24" s="37"/>
      <c r="J24" s="37"/>
      <c r="K24" s="37"/>
      <c r="L24" s="39"/>
    </row>
    <row r="25" spans="1:12" ht="25.5">
      <c r="A25" s="33" t="s">
        <v>52</v>
      </c>
      <c r="B25" s="34" t="s">
        <v>280</v>
      </c>
      <c r="C25" s="35" t="s">
        <v>16</v>
      </c>
      <c r="D25" s="64">
        <v>90</v>
      </c>
      <c r="E25" s="36"/>
      <c r="F25" s="36">
        <f>Tabela17[[#This Row],[Ilość]]*Tabela17[[#This Row],[C.j. netto]]</f>
        <v>0</v>
      </c>
      <c r="G25" s="37"/>
      <c r="H25" s="38"/>
      <c r="I25" s="37"/>
      <c r="J25" s="37"/>
      <c r="K25" s="37"/>
      <c r="L25" s="39"/>
    </row>
    <row r="26" spans="1:12">
      <c r="A26" s="33" t="s">
        <v>54</v>
      </c>
      <c r="B26" s="34" t="s">
        <v>281</v>
      </c>
      <c r="C26" s="35" t="s">
        <v>282</v>
      </c>
      <c r="D26" s="64">
        <v>380</v>
      </c>
      <c r="E26" s="36"/>
      <c r="F26" s="36">
        <f>Tabela17[[#This Row],[Ilość]]*Tabela17[[#This Row],[C.j. netto]]</f>
        <v>0</v>
      </c>
      <c r="G26" s="37"/>
      <c r="H26" s="38"/>
      <c r="I26" s="37"/>
      <c r="J26" s="37"/>
      <c r="K26" s="37"/>
      <c r="L26" s="39"/>
    </row>
    <row r="27" spans="1:12">
      <c r="A27" s="33" t="s">
        <v>56</v>
      </c>
      <c r="B27" s="34" t="s">
        <v>283</v>
      </c>
      <c r="C27" s="35" t="s">
        <v>29</v>
      </c>
      <c r="D27" s="64">
        <v>30</v>
      </c>
      <c r="E27" s="36"/>
      <c r="F27" s="36">
        <f>Tabela17[[#This Row],[Ilość]]*Tabela17[[#This Row],[C.j. netto]]</f>
        <v>0</v>
      </c>
      <c r="G27" s="37"/>
      <c r="H27" s="38"/>
      <c r="I27" s="37"/>
      <c r="J27" s="37"/>
      <c r="K27" s="37"/>
      <c r="L27" s="39"/>
    </row>
    <row r="28" spans="1:12">
      <c r="A28" s="33" t="s">
        <v>57</v>
      </c>
      <c r="B28" s="34" t="s">
        <v>284</v>
      </c>
      <c r="C28" s="35" t="s">
        <v>29</v>
      </c>
      <c r="D28" s="64">
        <v>60</v>
      </c>
      <c r="E28" s="36"/>
      <c r="F28" s="36">
        <f>Tabela17[[#This Row],[Ilość]]*Tabela17[[#This Row],[C.j. netto]]</f>
        <v>0</v>
      </c>
      <c r="G28" s="37"/>
      <c r="H28" s="38"/>
      <c r="I28" s="37"/>
      <c r="J28" s="37"/>
      <c r="K28" s="37"/>
      <c r="L28" s="39"/>
    </row>
    <row r="29" spans="1:12">
      <c r="A29" s="33" t="s">
        <v>59</v>
      </c>
      <c r="B29" s="34" t="s">
        <v>285</v>
      </c>
      <c r="C29" s="35" t="s">
        <v>29</v>
      </c>
      <c r="D29" s="64">
        <v>8</v>
      </c>
      <c r="E29" s="36"/>
      <c r="F29" s="36">
        <f>Tabela17[[#This Row],[Ilość]]*Tabela17[[#This Row],[C.j. netto]]</f>
        <v>0</v>
      </c>
      <c r="G29" s="37"/>
      <c r="H29" s="38"/>
      <c r="I29" s="37"/>
      <c r="J29" s="37"/>
      <c r="K29" s="37"/>
      <c r="L29" s="39"/>
    </row>
    <row r="30" spans="1:12">
      <c r="A30" s="33" t="s">
        <v>61</v>
      </c>
      <c r="B30" s="34" t="s">
        <v>286</v>
      </c>
      <c r="C30" s="35" t="s">
        <v>29</v>
      </c>
      <c r="D30" s="64">
        <v>8</v>
      </c>
      <c r="E30" s="36"/>
      <c r="F30" s="36">
        <f>Tabela17[[#This Row],[Ilość]]*Tabela17[[#This Row],[C.j. netto]]</f>
        <v>0</v>
      </c>
      <c r="G30" s="37"/>
      <c r="H30" s="38"/>
      <c r="I30" s="37"/>
      <c r="J30" s="37"/>
      <c r="K30" s="37"/>
      <c r="L30" s="39"/>
    </row>
    <row r="31" spans="1:12">
      <c r="A31" s="13" t="s">
        <v>118</v>
      </c>
      <c r="B31" s="14"/>
      <c r="C31" s="26"/>
      <c r="D31" s="26"/>
      <c r="E31" s="15"/>
      <c r="F31" s="31">
        <f>SUBTOTAL(109,Tabela17[Wartość netto])</f>
        <v>0</v>
      </c>
      <c r="G31" s="15"/>
      <c r="H31" s="26"/>
      <c r="I31" s="15"/>
      <c r="J31" s="15"/>
      <c r="K31" s="15"/>
      <c r="L31" s="16"/>
    </row>
    <row r="34" spans="1:12" ht="30">
      <c r="A34" s="10" t="s">
        <v>115</v>
      </c>
      <c r="B34" s="5"/>
    </row>
    <row r="35" spans="1:12" ht="15">
      <c r="A35" s="11" t="s">
        <v>116</v>
      </c>
      <c r="B35" s="5"/>
      <c r="L35" s="17"/>
    </row>
    <row r="36" spans="1:12" ht="15">
      <c r="A36" s="11" t="s">
        <v>117</v>
      </c>
      <c r="B36" s="5"/>
      <c r="L36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0059-B1B6-468B-9FA0-02B6050010CD}">
  <sheetPr>
    <pageSetUpPr fitToPage="1"/>
  </sheetPr>
  <dimension ref="A1:M28"/>
  <sheetViews>
    <sheetView workbookViewId="0">
      <selection activeCell="H21" sqref="H21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52.625" style="6" customWidth="1"/>
    <col min="3" max="4" width="8.875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1035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48" t="s">
        <v>4</v>
      </c>
      <c r="B9" s="49" t="s">
        <v>1165</v>
      </c>
      <c r="C9" s="50" t="s">
        <v>16</v>
      </c>
      <c r="D9" s="105">
        <v>100</v>
      </c>
      <c r="E9" s="114"/>
      <c r="F9" s="114">
        <f>Tabela18[[#This Row],[Ilość]]*Tabela18[[#This Row],[C.j. netto]]</f>
        <v>0</v>
      </c>
      <c r="G9" s="37"/>
      <c r="H9" s="38"/>
      <c r="I9" s="37"/>
      <c r="J9" s="37"/>
      <c r="K9" s="37"/>
      <c r="L9" s="39"/>
    </row>
    <row r="10" spans="1:13">
      <c r="A10" s="13" t="s">
        <v>118</v>
      </c>
      <c r="B10" s="14"/>
      <c r="C10" s="26"/>
      <c r="D10" s="26"/>
      <c r="E10" s="15"/>
      <c r="F10" s="31">
        <f>SUBTOTAL(109,Tabela18[Wartość netto])</f>
        <v>0</v>
      </c>
      <c r="G10" s="15"/>
      <c r="H10" s="26"/>
      <c r="I10" s="15"/>
      <c r="J10" s="15"/>
      <c r="K10" s="15"/>
      <c r="L10" s="16"/>
    </row>
    <row r="11" spans="1:13">
      <c r="A11" s="27"/>
      <c r="E11"/>
      <c r="F11" s="28"/>
      <c r="H11" s="24"/>
    </row>
    <row r="12" spans="1:13">
      <c r="A12" s="27"/>
      <c r="E12"/>
      <c r="F12" s="28"/>
      <c r="H12" s="24"/>
    </row>
    <row r="13" spans="1:13" ht="30">
      <c r="A13" s="10" t="s">
        <v>115</v>
      </c>
      <c r="B13" s="5"/>
    </row>
    <row r="14" spans="1:13" ht="15">
      <c r="A14" s="11" t="s">
        <v>116</v>
      </c>
      <c r="B14" s="5"/>
      <c r="L14" s="17"/>
    </row>
    <row r="15" spans="1:13" ht="15">
      <c r="A15" s="11" t="s">
        <v>117</v>
      </c>
      <c r="B15" s="5"/>
      <c r="L15" s="32" t="s">
        <v>119</v>
      </c>
    </row>
    <row r="18" spans="5:6">
      <c r="E18"/>
      <c r="F18"/>
    </row>
    <row r="19" spans="5:6">
      <c r="E19"/>
      <c r="F19"/>
    </row>
    <row r="20" spans="5:6">
      <c r="E20"/>
      <c r="F20"/>
    </row>
    <row r="21" spans="5:6">
      <c r="E21"/>
      <c r="F21"/>
    </row>
    <row r="25" spans="5:6" ht="18" customHeight="1"/>
    <row r="26" spans="5:6" ht="15.75" customHeight="1"/>
    <row r="27" spans="5:6" ht="17.25" customHeight="1"/>
    <row r="28" spans="5:6" ht="19.5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0" fitToHeight="0" orientation="landscape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1B9D7-4712-4854-A2AA-8EBA59697654}">
  <sheetPr>
    <pageSetUpPr fitToPage="1"/>
  </sheetPr>
  <dimension ref="A1:M207"/>
  <sheetViews>
    <sheetView topLeftCell="A154" workbookViewId="0">
      <selection activeCell="D187" sqref="D187"/>
    </sheetView>
    <sheetView topLeftCell="A128" workbookViewId="1">
      <selection activeCell="B148" sqref="B148"/>
    </sheetView>
    <sheetView workbookViewId="2">
      <selection activeCell="E9" sqref="E9:E184"/>
    </sheetView>
  </sheetViews>
  <sheetFormatPr defaultRowHeight="14.25"/>
  <cols>
    <col min="1" max="1" width="14.125" customWidth="1"/>
    <col min="2" max="2" width="52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287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33" t="s">
        <v>1260</v>
      </c>
      <c r="B9" s="34" t="s">
        <v>288</v>
      </c>
      <c r="C9" s="35" t="s">
        <v>29</v>
      </c>
      <c r="D9" s="64">
        <v>10</v>
      </c>
      <c r="E9" s="36"/>
      <c r="F9" s="36">
        <f>Tabela19[[#This Row],[Ilość]]*Tabela19[[#This Row],[C.j. netto]]</f>
        <v>0</v>
      </c>
      <c r="G9" s="37"/>
      <c r="H9" s="38"/>
      <c r="I9" s="37"/>
      <c r="J9" s="37"/>
      <c r="K9" s="37"/>
      <c r="L9" s="39"/>
    </row>
    <row r="10" spans="1:13">
      <c r="A10" s="33" t="s">
        <v>5</v>
      </c>
      <c r="B10" s="34" t="s">
        <v>289</v>
      </c>
      <c r="C10" s="35" t="s">
        <v>29</v>
      </c>
      <c r="D10" s="64">
        <v>35</v>
      </c>
      <c r="E10" s="36"/>
      <c r="F10" s="36">
        <f>Tabela19[[#This Row],[Ilość]]*Tabela19[[#This Row],[C.j. netto]]</f>
        <v>0</v>
      </c>
      <c r="G10" s="37"/>
      <c r="H10" s="38"/>
      <c r="I10" s="37"/>
      <c r="J10" s="37"/>
      <c r="K10" s="37"/>
      <c r="L10" s="39"/>
    </row>
    <row r="11" spans="1:13">
      <c r="A11" s="33" t="s">
        <v>6</v>
      </c>
      <c r="B11" s="34" t="s">
        <v>290</v>
      </c>
      <c r="C11" s="35" t="s">
        <v>29</v>
      </c>
      <c r="D11" s="64">
        <v>220</v>
      </c>
      <c r="E11" s="36"/>
      <c r="F11" s="36">
        <f>Tabela19[[#This Row],[Ilość]]*Tabela19[[#This Row],[C.j. netto]]</f>
        <v>0</v>
      </c>
      <c r="G11" s="37"/>
      <c r="H11" s="38"/>
      <c r="I11" s="37"/>
      <c r="J11" s="37"/>
      <c r="K11" s="37"/>
      <c r="L11" s="39"/>
    </row>
    <row r="12" spans="1:13">
      <c r="A12" s="33" t="s">
        <v>26</v>
      </c>
      <c r="B12" s="34" t="s">
        <v>291</v>
      </c>
      <c r="C12" s="35" t="s">
        <v>29</v>
      </c>
      <c r="D12" s="64">
        <v>25</v>
      </c>
      <c r="E12" s="36"/>
      <c r="F12" s="36">
        <f>Tabela19[[#This Row],[Ilość]]*Tabela19[[#This Row],[C.j. netto]]</f>
        <v>0</v>
      </c>
      <c r="G12" s="37"/>
      <c r="H12" s="38"/>
      <c r="I12" s="37"/>
      <c r="J12" s="37"/>
      <c r="K12" s="37"/>
      <c r="L12" s="39"/>
    </row>
    <row r="13" spans="1:13">
      <c r="A13" s="33" t="s">
        <v>27</v>
      </c>
      <c r="B13" s="34" t="s">
        <v>292</v>
      </c>
      <c r="C13" s="35" t="s">
        <v>29</v>
      </c>
      <c r="D13" s="64">
        <v>600</v>
      </c>
      <c r="E13" s="36"/>
      <c r="F13" s="36">
        <f>Tabela19[[#This Row],[Ilość]]*Tabela19[[#This Row],[C.j. netto]]</f>
        <v>0</v>
      </c>
      <c r="G13" s="37"/>
      <c r="H13" s="38"/>
      <c r="I13" s="37"/>
      <c r="J13" s="37"/>
      <c r="K13" s="37"/>
      <c r="L13" s="39"/>
    </row>
    <row r="14" spans="1:13">
      <c r="A14" s="33" t="s">
        <v>32</v>
      </c>
      <c r="B14" s="34" t="s">
        <v>293</v>
      </c>
      <c r="C14" s="35" t="s">
        <v>29</v>
      </c>
      <c r="D14" s="64">
        <v>40</v>
      </c>
      <c r="E14" s="36"/>
      <c r="F14" s="36">
        <f>Tabela19[[#This Row],[Ilość]]*Tabela19[[#This Row],[C.j. netto]]</f>
        <v>0</v>
      </c>
      <c r="G14" s="37"/>
      <c r="H14" s="38"/>
      <c r="I14" s="37"/>
      <c r="J14" s="37"/>
      <c r="K14" s="37"/>
      <c r="L14" s="39"/>
    </row>
    <row r="15" spans="1:13">
      <c r="A15" s="33" t="s">
        <v>34</v>
      </c>
      <c r="B15" s="34" t="s">
        <v>294</v>
      </c>
      <c r="C15" s="35" t="s">
        <v>295</v>
      </c>
      <c r="D15" s="64">
        <v>60</v>
      </c>
      <c r="E15" s="36"/>
      <c r="F15" s="36">
        <f>Tabela19[[#This Row],[Ilość]]*Tabela19[[#This Row],[C.j. netto]]</f>
        <v>0</v>
      </c>
      <c r="G15" s="37"/>
      <c r="H15" s="38"/>
      <c r="I15" s="37"/>
      <c r="J15" s="37"/>
      <c r="K15" s="37"/>
      <c r="L15" s="39"/>
    </row>
    <row r="16" spans="1:13">
      <c r="A16" s="33" t="s">
        <v>36</v>
      </c>
      <c r="B16" s="34" t="s">
        <v>296</v>
      </c>
      <c r="C16" s="35" t="s">
        <v>295</v>
      </c>
      <c r="D16" s="64">
        <v>100</v>
      </c>
      <c r="E16" s="36"/>
      <c r="F16" s="36">
        <f>Tabela19[[#This Row],[Ilość]]*Tabela19[[#This Row],[C.j. netto]]</f>
        <v>0</v>
      </c>
      <c r="G16" s="37"/>
      <c r="H16" s="38"/>
      <c r="I16" s="37"/>
      <c r="J16" s="37"/>
      <c r="K16" s="37"/>
      <c r="L16" s="39"/>
    </row>
    <row r="17" spans="1:12">
      <c r="A17" s="33" t="s">
        <v>1295</v>
      </c>
      <c r="B17" s="34" t="s">
        <v>1254</v>
      </c>
      <c r="C17" s="35" t="s">
        <v>29</v>
      </c>
      <c r="D17" s="64">
        <v>60</v>
      </c>
      <c r="E17" s="36"/>
      <c r="F17" s="36">
        <f>Tabela19[[#This Row],[Ilość]]*Tabela19[[#This Row],[C.j. netto]]</f>
        <v>0</v>
      </c>
      <c r="G17" s="37"/>
      <c r="H17" s="38"/>
      <c r="I17" s="37"/>
      <c r="J17" s="37"/>
      <c r="K17" s="37"/>
      <c r="L17" s="39"/>
    </row>
    <row r="18" spans="1:12">
      <c r="A18" s="33" t="s">
        <v>40</v>
      </c>
      <c r="B18" s="34" t="s">
        <v>297</v>
      </c>
      <c r="C18" s="35" t="s">
        <v>29</v>
      </c>
      <c r="D18" s="64">
        <v>700</v>
      </c>
      <c r="E18" s="36"/>
      <c r="F18" s="36">
        <f>Tabela19[[#This Row],[Ilość]]*Tabela19[[#This Row],[C.j. netto]]</f>
        <v>0</v>
      </c>
      <c r="G18" s="37"/>
      <c r="H18" s="38"/>
      <c r="I18" s="37"/>
      <c r="J18" s="37"/>
      <c r="K18" s="37"/>
      <c r="L18" s="39"/>
    </row>
    <row r="19" spans="1:12">
      <c r="A19" s="33" t="s">
        <v>42</v>
      </c>
      <c r="B19" s="34" t="s">
        <v>298</v>
      </c>
      <c r="C19" s="35" t="s">
        <v>29</v>
      </c>
      <c r="D19" s="64">
        <v>50</v>
      </c>
      <c r="E19" s="36"/>
      <c r="F19" s="36">
        <f>Tabela19[[#This Row],[Ilość]]*Tabela19[[#This Row],[C.j. netto]]</f>
        <v>0</v>
      </c>
      <c r="G19" s="37"/>
      <c r="H19" s="38"/>
      <c r="I19" s="37"/>
      <c r="J19" s="37"/>
      <c r="K19" s="37"/>
      <c r="L19" s="39"/>
    </row>
    <row r="20" spans="1:12">
      <c r="A20" s="33" t="s">
        <v>45</v>
      </c>
      <c r="B20" s="34" t="s">
        <v>299</v>
      </c>
      <c r="C20" s="35" t="s">
        <v>29</v>
      </c>
      <c r="D20" s="64">
        <v>110</v>
      </c>
      <c r="E20" s="36"/>
      <c r="F20" s="36">
        <f>Tabela19[[#This Row],[Ilość]]*Tabela19[[#This Row],[C.j. netto]]</f>
        <v>0</v>
      </c>
      <c r="G20" s="37"/>
      <c r="H20" s="38"/>
      <c r="I20" s="37"/>
      <c r="J20" s="37"/>
      <c r="K20" s="37"/>
      <c r="L20" s="39"/>
    </row>
    <row r="21" spans="1:12">
      <c r="A21" s="33" t="s">
        <v>47</v>
      </c>
      <c r="B21" s="34" t="s">
        <v>300</v>
      </c>
      <c r="C21" s="35" t="s">
        <v>29</v>
      </c>
      <c r="D21" s="64">
        <v>20</v>
      </c>
      <c r="E21" s="36"/>
      <c r="F21" s="36">
        <f>Tabela19[[#This Row],[Ilość]]*Tabela19[[#This Row],[C.j. netto]]</f>
        <v>0</v>
      </c>
      <c r="G21" s="37"/>
      <c r="H21" s="38"/>
      <c r="I21" s="37"/>
      <c r="J21" s="37"/>
      <c r="K21" s="37"/>
      <c r="L21" s="39"/>
    </row>
    <row r="22" spans="1:12">
      <c r="A22" s="33" t="s">
        <v>48</v>
      </c>
      <c r="B22" s="34" t="s">
        <v>301</v>
      </c>
      <c r="C22" s="35" t="s">
        <v>29</v>
      </c>
      <c r="D22" s="64">
        <v>160</v>
      </c>
      <c r="E22" s="36"/>
      <c r="F22" s="36">
        <f>Tabela19[[#This Row],[Ilość]]*Tabela19[[#This Row],[C.j. netto]]</f>
        <v>0</v>
      </c>
      <c r="G22" s="37"/>
      <c r="H22" s="38"/>
      <c r="I22" s="37"/>
      <c r="J22" s="37"/>
      <c r="K22" s="37"/>
      <c r="L22" s="39"/>
    </row>
    <row r="23" spans="1:12">
      <c r="A23" s="33" t="s">
        <v>49</v>
      </c>
      <c r="B23" s="34" t="s">
        <v>302</v>
      </c>
      <c r="C23" s="35" t="s">
        <v>29</v>
      </c>
      <c r="D23" s="65">
        <v>300</v>
      </c>
      <c r="E23" s="36"/>
      <c r="F23" s="36">
        <f>Tabela19[[#This Row],[Ilość]]*Tabela19[[#This Row],[C.j. netto]]</f>
        <v>0</v>
      </c>
      <c r="G23" s="37"/>
      <c r="H23" s="38"/>
      <c r="I23" s="37"/>
      <c r="J23" s="37"/>
      <c r="K23" s="37"/>
      <c r="L23" s="39"/>
    </row>
    <row r="24" spans="1:12">
      <c r="A24" s="33" t="s">
        <v>50</v>
      </c>
      <c r="B24" s="34" t="s">
        <v>303</v>
      </c>
      <c r="C24" s="35" t="s">
        <v>29</v>
      </c>
      <c r="D24" s="64">
        <v>50</v>
      </c>
      <c r="E24" s="36"/>
      <c r="F24" s="36">
        <f>Tabela19[[#This Row],[Ilość]]*Tabela19[[#This Row],[C.j. netto]]</f>
        <v>0</v>
      </c>
      <c r="G24" s="37"/>
      <c r="H24" s="38"/>
      <c r="I24" s="37"/>
      <c r="J24" s="37"/>
      <c r="K24" s="37"/>
      <c r="L24" s="39"/>
    </row>
    <row r="25" spans="1:12">
      <c r="A25" s="33" t="s">
        <v>52</v>
      </c>
      <c r="B25" s="34" t="s">
        <v>304</v>
      </c>
      <c r="C25" s="35" t="s">
        <v>29</v>
      </c>
      <c r="D25" s="64">
        <v>10</v>
      </c>
      <c r="E25" s="36"/>
      <c r="F25" s="36">
        <f>Tabela19[[#This Row],[Ilość]]*Tabela19[[#This Row],[C.j. netto]]</f>
        <v>0</v>
      </c>
      <c r="G25" s="37"/>
      <c r="H25" s="38"/>
      <c r="I25" s="37"/>
      <c r="J25" s="37"/>
      <c r="K25" s="37"/>
      <c r="L25" s="39"/>
    </row>
    <row r="26" spans="1:12">
      <c r="A26" s="33" t="s">
        <v>1296</v>
      </c>
      <c r="B26" s="34" t="s">
        <v>305</v>
      </c>
      <c r="C26" s="35" t="s">
        <v>306</v>
      </c>
      <c r="D26" s="64">
        <v>25</v>
      </c>
      <c r="E26" s="36"/>
      <c r="F26" s="36">
        <f>Tabela19[[#This Row],[Ilość]]*Tabela19[[#This Row],[C.j. netto]]</f>
        <v>0</v>
      </c>
      <c r="G26" s="37"/>
      <c r="H26" s="38"/>
      <c r="I26" s="37"/>
      <c r="J26" s="37"/>
      <c r="K26" s="37"/>
      <c r="L26" s="39"/>
    </row>
    <row r="27" spans="1:12">
      <c r="A27" s="33" t="s">
        <v>56</v>
      </c>
      <c r="B27" s="34" t="s">
        <v>307</v>
      </c>
      <c r="C27" s="35" t="s">
        <v>29</v>
      </c>
      <c r="D27" s="64">
        <v>50</v>
      </c>
      <c r="E27" s="36"/>
      <c r="F27" s="36">
        <f>Tabela19[[#This Row],[Ilość]]*Tabela19[[#This Row],[C.j. netto]]</f>
        <v>0</v>
      </c>
      <c r="G27" s="37"/>
      <c r="H27" s="38"/>
      <c r="I27" s="37"/>
      <c r="J27" s="37"/>
      <c r="K27" s="37"/>
      <c r="L27" s="39"/>
    </row>
    <row r="28" spans="1:12">
      <c r="A28" s="33" t="s">
        <v>57</v>
      </c>
      <c r="B28" s="34" t="s">
        <v>308</v>
      </c>
      <c r="C28" s="35" t="s">
        <v>29</v>
      </c>
      <c r="D28" s="64">
        <v>20</v>
      </c>
      <c r="E28" s="36"/>
      <c r="F28" s="36">
        <f>Tabela19[[#This Row],[Ilość]]*Tabela19[[#This Row],[C.j. netto]]</f>
        <v>0</v>
      </c>
      <c r="G28" s="37"/>
      <c r="H28" s="38"/>
      <c r="I28" s="37"/>
      <c r="J28" s="37"/>
      <c r="K28" s="37"/>
      <c r="L28" s="39"/>
    </row>
    <row r="29" spans="1:12">
      <c r="A29" s="33" t="s">
        <v>1297</v>
      </c>
      <c r="B29" s="34" t="s">
        <v>309</v>
      </c>
      <c r="C29" s="35" t="s">
        <v>29</v>
      </c>
      <c r="D29" s="64">
        <v>500</v>
      </c>
      <c r="E29" s="36"/>
      <c r="F29" s="36">
        <f>Tabela19[[#This Row],[Ilość]]*Tabela19[[#This Row],[C.j. netto]]</f>
        <v>0</v>
      </c>
      <c r="G29" s="37"/>
      <c r="H29" s="38"/>
      <c r="I29" s="37"/>
      <c r="J29" s="37"/>
      <c r="K29" s="37"/>
      <c r="L29" s="39"/>
    </row>
    <row r="30" spans="1:12" ht="25.5">
      <c r="A30" s="33" t="s">
        <v>61</v>
      </c>
      <c r="B30" s="34" t="s">
        <v>310</v>
      </c>
      <c r="C30" s="35" t="s">
        <v>29</v>
      </c>
      <c r="D30" s="64">
        <v>15</v>
      </c>
      <c r="E30" s="36"/>
      <c r="F30" s="36">
        <f>Tabela19[[#This Row],[Ilość]]*Tabela19[[#This Row],[C.j. netto]]</f>
        <v>0</v>
      </c>
      <c r="G30" s="37"/>
      <c r="H30" s="38"/>
      <c r="I30" s="37"/>
      <c r="J30" s="37"/>
      <c r="K30" s="37"/>
      <c r="L30" s="39"/>
    </row>
    <row r="31" spans="1:12" ht="25.5">
      <c r="A31" s="33" t="s">
        <v>63</v>
      </c>
      <c r="B31" s="34" t="s">
        <v>311</v>
      </c>
      <c r="C31" s="35" t="s">
        <v>29</v>
      </c>
      <c r="D31" s="64">
        <v>50</v>
      </c>
      <c r="E31" s="36"/>
      <c r="F31" s="36">
        <f>Tabela19[[#This Row],[Ilość]]*Tabela19[[#This Row],[C.j. netto]]</f>
        <v>0</v>
      </c>
      <c r="G31" s="37"/>
      <c r="H31" s="38"/>
      <c r="I31" s="37"/>
      <c r="J31" s="37"/>
      <c r="K31" s="37"/>
      <c r="L31" s="39"/>
    </row>
    <row r="32" spans="1:12">
      <c r="A32" s="33" t="s">
        <v>65</v>
      </c>
      <c r="B32" s="34" t="s">
        <v>1255</v>
      </c>
      <c r="C32" s="35" t="s">
        <v>29</v>
      </c>
      <c r="D32" s="64">
        <v>1400</v>
      </c>
      <c r="E32" s="36"/>
      <c r="F32" s="36">
        <f>Tabela19[[#This Row],[Ilość]]*Tabela19[[#This Row],[C.j. netto]]</f>
        <v>0</v>
      </c>
      <c r="G32" s="37"/>
      <c r="H32" s="38"/>
      <c r="I32" s="37"/>
      <c r="J32" s="37"/>
      <c r="K32" s="37"/>
      <c r="L32" s="39"/>
    </row>
    <row r="33" spans="1:12">
      <c r="A33" s="33" t="s">
        <v>67</v>
      </c>
      <c r="B33" s="34" t="s">
        <v>312</v>
      </c>
      <c r="C33" s="35" t="s">
        <v>29</v>
      </c>
      <c r="D33" s="64">
        <v>30</v>
      </c>
      <c r="E33" s="36"/>
      <c r="F33" s="36">
        <f>Tabela19[[#This Row],[Ilość]]*Tabela19[[#This Row],[C.j. netto]]</f>
        <v>0</v>
      </c>
      <c r="G33" s="37"/>
      <c r="H33" s="38"/>
      <c r="I33" s="37"/>
      <c r="J33" s="37"/>
      <c r="K33" s="37"/>
      <c r="L33" s="39"/>
    </row>
    <row r="34" spans="1:12">
      <c r="A34" s="33" t="s">
        <v>69</v>
      </c>
      <c r="B34" s="34" t="s">
        <v>313</v>
      </c>
      <c r="C34" s="35" t="s">
        <v>29</v>
      </c>
      <c r="D34" s="64">
        <v>20</v>
      </c>
      <c r="E34" s="36"/>
      <c r="F34" s="36">
        <f>Tabela19[[#This Row],[Ilość]]*Tabela19[[#This Row],[C.j. netto]]</f>
        <v>0</v>
      </c>
      <c r="G34" s="37"/>
      <c r="H34" s="38"/>
      <c r="I34" s="37"/>
      <c r="J34" s="37"/>
      <c r="K34" s="37"/>
      <c r="L34" s="39"/>
    </row>
    <row r="35" spans="1:12">
      <c r="A35" s="33" t="s">
        <v>71</v>
      </c>
      <c r="B35" s="34" t="s">
        <v>314</v>
      </c>
      <c r="C35" s="35" t="s">
        <v>29</v>
      </c>
      <c r="D35" s="64">
        <v>15</v>
      </c>
      <c r="E35" s="36"/>
      <c r="F35" s="36">
        <f>Tabela19[[#This Row],[Ilość]]*Tabela19[[#This Row],[C.j. netto]]</f>
        <v>0</v>
      </c>
      <c r="G35" s="37"/>
      <c r="H35" s="38"/>
      <c r="I35" s="37"/>
      <c r="J35" s="37"/>
      <c r="K35" s="37"/>
      <c r="L35" s="39"/>
    </row>
    <row r="36" spans="1:12">
      <c r="A36" s="33" t="s">
        <v>73</v>
      </c>
      <c r="B36" s="34" t="s">
        <v>315</v>
      </c>
      <c r="C36" s="35" t="s">
        <v>29</v>
      </c>
      <c r="D36" s="64">
        <v>50</v>
      </c>
      <c r="E36" s="36"/>
      <c r="F36" s="36">
        <f>Tabela19[[#This Row],[Ilość]]*Tabela19[[#This Row],[C.j. netto]]</f>
        <v>0</v>
      </c>
      <c r="G36" s="37"/>
      <c r="H36" s="38"/>
      <c r="I36" s="37"/>
      <c r="J36" s="37"/>
      <c r="K36" s="37"/>
      <c r="L36" s="39"/>
    </row>
    <row r="37" spans="1:12">
      <c r="A37" s="33" t="s">
        <v>1298</v>
      </c>
      <c r="B37" s="34" t="s">
        <v>316</v>
      </c>
      <c r="C37" s="35" t="s">
        <v>29</v>
      </c>
      <c r="D37" s="64">
        <v>20</v>
      </c>
      <c r="E37" s="36"/>
      <c r="F37" s="36">
        <f>Tabela19[[#This Row],[Ilość]]*Tabela19[[#This Row],[C.j. netto]]</f>
        <v>0</v>
      </c>
      <c r="G37" s="37"/>
      <c r="H37" s="38"/>
      <c r="I37" s="37"/>
      <c r="J37" s="37"/>
      <c r="K37" s="37"/>
      <c r="L37" s="39"/>
    </row>
    <row r="38" spans="1:12">
      <c r="A38" s="33" t="s">
        <v>77</v>
      </c>
      <c r="B38" s="34" t="s">
        <v>557</v>
      </c>
      <c r="C38" s="35" t="s">
        <v>106</v>
      </c>
      <c r="D38" s="64">
        <v>12000</v>
      </c>
      <c r="E38" s="36"/>
      <c r="F38" s="36">
        <f>Tabela19[[#This Row],[Ilość]]*Tabela19[[#This Row],[C.j. netto]]</f>
        <v>0</v>
      </c>
      <c r="G38" s="37"/>
      <c r="H38" s="38"/>
      <c r="I38" s="37"/>
      <c r="J38" s="37"/>
      <c r="K38" s="37"/>
      <c r="L38" s="39"/>
    </row>
    <row r="39" spans="1:12">
      <c r="A39" s="33" t="s">
        <v>79</v>
      </c>
      <c r="B39" s="34" t="s">
        <v>558</v>
      </c>
      <c r="C39" s="35" t="s">
        <v>106</v>
      </c>
      <c r="D39" s="64">
        <v>2000</v>
      </c>
      <c r="E39" s="36"/>
      <c r="F39" s="36">
        <f>Tabela19[[#This Row],[Ilość]]*Tabela19[[#This Row],[C.j. netto]]</f>
        <v>0</v>
      </c>
      <c r="G39" s="37"/>
      <c r="H39" s="38"/>
      <c r="I39" s="37"/>
      <c r="J39" s="37"/>
      <c r="K39" s="37"/>
      <c r="L39" s="39"/>
    </row>
    <row r="40" spans="1:12" ht="25.5">
      <c r="A40" s="33" t="s">
        <v>81</v>
      </c>
      <c r="B40" s="34" t="s">
        <v>317</v>
      </c>
      <c r="C40" s="35" t="s">
        <v>103</v>
      </c>
      <c r="D40" s="64">
        <v>4000</v>
      </c>
      <c r="E40" s="36"/>
      <c r="F40" s="36">
        <f>Tabela19[[#This Row],[Ilość]]*Tabela19[[#This Row],[C.j. netto]]</f>
        <v>0</v>
      </c>
      <c r="G40" s="37"/>
      <c r="H40" s="38"/>
      <c r="I40" s="37"/>
      <c r="J40" s="37"/>
      <c r="K40" s="37"/>
      <c r="L40" s="39"/>
    </row>
    <row r="41" spans="1:12" ht="25.5">
      <c r="A41" s="33" t="s">
        <v>83</v>
      </c>
      <c r="B41" s="34" t="s">
        <v>559</v>
      </c>
      <c r="C41" s="35" t="s">
        <v>106</v>
      </c>
      <c r="D41" s="64">
        <v>2500</v>
      </c>
      <c r="E41" s="36"/>
      <c r="F41" s="36">
        <f>Tabela19[[#This Row],[Ilość]]*Tabela19[[#This Row],[C.j. netto]]</f>
        <v>0</v>
      </c>
      <c r="G41" s="37"/>
      <c r="H41" s="38"/>
      <c r="I41" s="37"/>
      <c r="J41" s="37"/>
      <c r="K41" s="37"/>
      <c r="L41" s="39"/>
    </row>
    <row r="42" spans="1:12" ht="25.5">
      <c r="A42" s="33" t="s">
        <v>84</v>
      </c>
      <c r="B42" s="34" t="s">
        <v>560</v>
      </c>
      <c r="C42" s="35" t="s">
        <v>106</v>
      </c>
      <c r="D42" s="64">
        <v>5500</v>
      </c>
      <c r="E42" s="36"/>
      <c r="F42" s="36">
        <f>Tabela19[[#This Row],[Ilość]]*Tabela19[[#This Row],[C.j. netto]]</f>
        <v>0</v>
      </c>
      <c r="G42" s="37"/>
      <c r="H42" s="38"/>
      <c r="I42" s="37"/>
      <c r="J42" s="37"/>
      <c r="K42" s="37"/>
      <c r="L42" s="39"/>
    </row>
    <row r="43" spans="1:12">
      <c r="A43" s="33" t="s">
        <v>86</v>
      </c>
      <c r="B43" s="34" t="s">
        <v>318</v>
      </c>
      <c r="C43" s="35" t="s">
        <v>103</v>
      </c>
      <c r="D43" s="64">
        <v>1500</v>
      </c>
      <c r="E43" s="36"/>
      <c r="F43" s="36">
        <f>Tabela19[[#This Row],[Ilość]]*Tabela19[[#This Row],[C.j. netto]]</f>
        <v>0</v>
      </c>
      <c r="G43" s="37"/>
      <c r="H43" s="38"/>
      <c r="I43" s="37"/>
      <c r="J43" s="37"/>
      <c r="K43" s="37"/>
      <c r="L43" s="39"/>
    </row>
    <row r="44" spans="1:12">
      <c r="A44" s="33" t="s">
        <v>88</v>
      </c>
      <c r="B44" s="34" t="s">
        <v>319</v>
      </c>
      <c r="C44" s="35" t="s">
        <v>103</v>
      </c>
      <c r="D44" s="64">
        <v>4000</v>
      </c>
      <c r="E44" s="36"/>
      <c r="F44" s="36">
        <f>Tabela19[[#This Row],[Ilość]]*Tabela19[[#This Row],[C.j. netto]]</f>
        <v>0</v>
      </c>
      <c r="G44" s="37"/>
      <c r="H44" s="38"/>
      <c r="I44" s="37"/>
      <c r="J44" s="37"/>
      <c r="K44" s="37"/>
      <c r="L44" s="39"/>
    </row>
    <row r="45" spans="1:12">
      <c r="A45" s="33" t="s">
        <v>89</v>
      </c>
      <c r="B45" s="34" t="s">
        <v>320</v>
      </c>
      <c r="C45" s="35" t="s">
        <v>29</v>
      </c>
      <c r="D45" s="64">
        <v>35</v>
      </c>
      <c r="E45" s="36"/>
      <c r="F45" s="36">
        <f>Tabela19[[#This Row],[Ilość]]*Tabela19[[#This Row],[C.j. netto]]</f>
        <v>0</v>
      </c>
      <c r="G45" s="37"/>
      <c r="H45" s="38"/>
      <c r="I45" s="37"/>
      <c r="J45" s="37"/>
      <c r="K45" s="37"/>
      <c r="L45" s="39"/>
    </row>
    <row r="46" spans="1:12">
      <c r="A46" s="33" t="s">
        <v>90</v>
      </c>
      <c r="B46" s="34" t="s">
        <v>321</v>
      </c>
      <c r="C46" s="35" t="s">
        <v>29</v>
      </c>
      <c r="D46" s="64">
        <v>16</v>
      </c>
      <c r="E46" s="36"/>
      <c r="F46" s="36">
        <f>Tabela19[[#This Row],[Ilość]]*Tabela19[[#This Row],[C.j. netto]]</f>
        <v>0</v>
      </c>
      <c r="G46" s="37"/>
      <c r="H46" s="38"/>
      <c r="I46" s="37"/>
      <c r="J46" s="37"/>
      <c r="K46" s="37"/>
      <c r="L46" s="39"/>
    </row>
    <row r="47" spans="1:12">
      <c r="A47" s="33" t="s">
        <v>92</v>
      </c>
      <c r="B47" s="34" t="s">
        <v>322</v>
      </c>
      <c r="C47" s="35" t="s">
        <v>306</v>
      </c>
      <c r="D47" s="64">
        <v>15</v>
      </c>
      <c r="E47" s="36"/>
      <c r="F47" s="36">
        <f>Tabela19[[#This Row],[Ilość]]*Tabela19[[#This Row],[C.j. netto]]</f>
        <v>0</v>
      </c>
      <c r="G47" s="37"/>
      <c r="H47" s="38"/>
      <c r="I47" s="37"/>
      <c r="J47" s="37"/>
      <c r="K47" s="37"/>
      <c r="L47" s="39"/>
    </row>
    <row r="48" spans="1:12">
      <c r="A48" s="33" t="s">
        <v>94</v>
      </c>
      <c r="B48" s="34" t="s">
        <v>323</v>
      </c>
      <c r="C48" s="35" t="s">
        <v>306</v>
      </c>
      <c r="D48" s="64">
        <v>8</v>
      </c>
      <c r="E48" s="36"/>
      <c r="F48" s="36">
        <f>Tabela19[[#This Row],[Ilość]]*Tabela19[[#This Row],[C.j. netto]]</f>
        <v>0</v>
      </c>
      <c r="G48" s="37"/>
      <c r="H48" s="38"/>
      <c r="I48" s="37"/>
      <c r="J48" s="37"/>
      <c r="K48" s="37"/>
      <c r="L48" s="39"/>
    </row>
    <row r="49" spans="1:12">
      <c r="A49" s="208" t="s">
        <v>96</v>
      </c>
      <c r="B49" s="41" t="s">
        <v>324</v>
      </c>
      <c r="C49" s="42" t="s">
        <v>29</v>
      </c>
      <c r="D49" s="67">
        <v>10</v>
      </c>
      <c r="E49" s="43"/>
      <c r="F49" s="36">
        <f>Tabela19[[#This Row],[Ilość]]*Tabela19[[#This Row],[C.j. netto]]</f>
        <v>0</v>
      </c>
      <c r="G49" s="44"/>
      <c r="H49" s="45"/>
      <c r="I49" s="44"/>
      <c r="J49" s="44"/>
      <c r="K49" s="44"/>
      <c r="L49" s="46"/>
    </row>
    <row r="50" spans="1:12">
      <c r="A50" s="209" t="s">
        <v>98</v>
      </c>
      <c r="B50" s="34" t="s">
        <v>325</v>
      </c>
      <c r="C50" s="35" t="s">
        <v>29</v>
      </c>
      <c r="D50" s="64">
        <v>200</v>
      </c>
      <c r="E50" s="36"/>
      <c r="F50" s="36">
        <f>Tabela19[[#This Row],[Ilość]]*Tabela19[[#This Row],[C.j. netto]]</f>
        <v>0</v>
      </c>
      <c r="G50" s="37"/>
      <c r="H50" s="38"/>
      <c r="I50" s="37"/>
      <c r="J50" s="37"/>
      <c r="K50" s="37"/>
      <c r="L50" s="39"/>
    </row>
    <row r="51" spans="1:12">
      <c r="A51" s="209" t="s">
        <v>100</v>
      </c>
      <c r="B51" s="34" t="s">
        <v>326</v>
      </c>
      <c r="C51" s="35" t="s">
        <v>327</v>
      </c>
      <c r="D51" s="64">
        <v>100</v>
      </c>
      <c r="E51" s="36"/>
      <c r="F51" s="36">
        <f>Tabela19[[#This Row],[Ilość]]*Tabela19[[#This Row],[C.j. netto]]</f>
        <v>0</v>
      </c>
      <c r="G51" s="37"/>
      <c r="H51" s="38"/>
      <c r="I51" s="37"/>
      <c r="J51" s="37"/>
      <c r="K51" s="37"/>
      <c r="L51" s="39"/>
    </row>
    <row r="52" spans="1:12">
      <c r="A52" s="209" t="s">
        <v>102</v>
      </c>
      <c r="B52" s="34" t="s">
        <v>328</v>
      </c>
      <c r="C52" s="35" t="s">
        <v>327</v>
      </c>
      <c r="D52" s="64">
        <v>50</v>
      </c>
      <c r="E52" s="36"/>
      <c r="F52" s="36">
        <f>Tabela19[[#This Row],[Ilość]]*Tabela19[[#This Row],[C.j. netto]]</f>
        <v>0</v>
      </c>
      <c r="G52" s="37"/>
      <c r="H52" s="38"/>
      <c r="I52" s="37"/>
      <c r="J52" s="37"/>
      <c r="K52" s="37"/>
      <c r="L52" s="39"/>
    </row>
    <row r="53" spans="1:12">
      <c r="A53" s="209" t="s">
        <v>104</v>
      </c>
      <c r="B53" s="34" t="s">
        <v>329</v>
      </c>
      <c r="C53" s="35" t="s">
        <v>29</v>
      </c>
      <c r="D53" s="64">
        <v>300</v>
      </c>
      <c r="E53" s="36"/>
      <c r="F53" s="36">
        <f>Tabela19[[#This Row],[Ilość]]*Tabela19[[#This Row],[C.j. netto]]</f>
        <v>0</v>
      </c>
      <c r="G53" s="37"/>
      <c r="H53" s="38"/>
      <c r="I53" s="37"/>
      <c r="J53" s="37"/>
      <c r="K53" s="37"/>
      <c r="L53" s="39"/>
    </row>
    <row r="54" spans="1:12">
      <c r="A54" s="209" t="s">
        <v>105</v>
      </c>
      <c r="B54" s="34" t="s">
        <v>330</v>
      </c>
      <c r="C54" s="35" t="s">
        <v>29</v>
      </c>
      <c r="D54" s="64">
        <v>1900</v>
      </c>
      <c r="E54" s="36"/>
      <c r="F54" s="36">
        <f>Tabela19[[#This Row],[Ilość]]*Tabela19[[#This Row],[C.j. netto]]</f>
        <v>0</v>
      </c>
      <c r="G54" s="37"/>
      <c r="H54" s="38"/>
      <c r="I54" s="37"/>
      <c r="J54" s="37"/>
      <c r="K54" s="37"/>
      <c r="L54" s="39"/>
    </row>
    <row r="55" spans="1:12">
      <c r="A55" s="209" t="s">
        <v>331</v>
      </c>
      <c r="B55" s="34" t="s">
        <v>332</v>
      </c>
      <c r="C55" s="35" t="s">
        <v>306</v>
      </c>
      <c r="D55" s="64">
        <v>5</v>
      </c>
      <c r="E55" s="36"/>
      <c r="F55" s="36">
        <f>Tabela19[[#This Row],[Ilość]]*Tabela19[[#This Row],[C.j. netto]]</f>
        <v>0</v>
      </c>
      <c r="G55" s="37"/>
      <c r="H55" s="38"/>
      <c r="I55" s="37"/>
      <c r="J55" s="37"/>
      <c r="K55" s="37"/>
      <c r="L55" s="39"/>
    </row>
    <row r="56" spans="1:12" ht="18" customHeight="1">
      <c r="A56" s="209" t="s">
        <v>333</v>
      </c>
      <c r="B56" s="34" t="s">
        <v>334</v>
      </c>
      <c r="C56" s="35" t="s">
        <v>29</v>
      </c>
      <c r="D56" s="64">
        <v>150</v>
      </c>
      <c r="E56" s="36"/>
      <c r="F56" s="36">
        <f>Tabela19[[#This Row],[Ilość]]*Tabela19[[#This Row],[C.j. netto]]</f>
        <v>0</v>
      </c>
      <c r="G56" s="37"/>
      <c r="H56" s="38"/>
      <c r="I56" s="37"/>
      <c r="J56" s="37"/>
      <c r="K56" s="37"/>
      <c r="L56" s="39"/>
    </row>
    <row r="57" spans="1:12" ht="15.75" customHeight="1">
      <c r="A57" s="209" t="s">
        <v>335</v>
      </c>
      <c r="B57" s="34" t="s">
        <v>336</v>
      </c>
      <c r="C57" s="35" t="s">
        <v>29</v>
      </c>
      <c r="D57" s="64">
        <v>400</v>
      </c>
      <c r="E57" s="36"/>
      <c r="F57" s="36">
        <f>Tabela19[[#This Row],[Ilość]]*Tabela19[[#This Row],[C.j. netto]]</f>
        <v>0</v>
      </c>
      <c r="G57" s="37"/>
      <c r="H57" s="38"/>
      <c r="I57" s="37"/>
      <c r="J57" s="37"/>
      <c r="K57" s="37"/>
      <c r="L57" s="39"/>
    </row>
    <row r="58" spans="1:12" ht="17.25" customHeight="1">
      <c r="A58" s="209" t="s">
        <v>337</v>
      </c>
      <c r="B58" s="34" t="s">
        <v>338</v>
      </c>
      <c r="C58" s="35" t="s">
        <v>29</v>
      </c>
      <c r="D58" s="64">
        <v>15</v>
      </c>
      <c r="E58" s="36"/>
      <c r="F58" s="36">
        <f>Tabela19[[#This Row],[Ilość]]*Tabela19[[#This Row],[C.j. netto]]</f>
        <v>0</v>
      </c>
      <c r="G58" s="37"/>
      <c r="H58" s="38"/>
      <c r="I58" s="37"/>
      <c r="J58" s="37"/>
      <c r="K58" s="37"/>
      <c r="L58" s="39"/>
    </row>
    <row r="59" spans="1:12" ht="19.5" customHeight="1">
      <c r="A59" s="209" t="s">
        <v>339</v>
      </c>
      <c r="B59" s="34" t="s">
        <v>340</v>
      </c>
      <c r="C59" s="35" t="s">
        <v>29</v>
      </c>
      <c r="D59" s="64">
        <v>100</v>
      </c>
      <c r="E59" s="36"/>
      <c r="F59" s="36">
        <f>Tabela19[[#This Row],[Ilość]]*Tabela19[[#This Row],[C.j. netto]]</f>
        <v>0</v>
      </c>
      <c r="G59" s="37"/>
      <c r="H59" s="38"/>
      <c r="I59" s="37"/>
      <c r="J59" s="37"/>
      <c r="K59" s="37"/>
      <c r="L59" s="39"/>
    </row>
    <row r="60" spans="1:12">
      <c r="A60" s="209" t="s">
        <v>341</v>
      </c>
      <c r="B60" s="34" t="s">
        <v>342</v>
      </c>
      <c r="C60" s="35" t="s">
        <v>29</v>
      </c>
      <c r="D60" s="64">
        <v>20</v>
      </c>
      <c r="E60" s="36"/>
      <c r="F60" s="36">
        <f>Tabela19[[#This Row],[Ilość]]*Tabela19[[#This Row],[C.j. netto]]</f>
        <v>0</v>
      </c>
      <c r="G60" s="37"/>
      <c r="H60" s="38"/>
      <c r="I60" s="37"/>
      <c r="J60" s="37"/>
      <c r="K60" s="37"/>
      <c r="L60" s="39"/>
    </row>
    <row r="61" spans="1:12">
      <c r="A61" s="209" t="s">
        <v>343</v>
      </c>
      <c r="B61" s="34" t="s">
        <v>344</v>
      </c>
      <c r="C61" s="35" t="s">
        <v>29</v>
      </c>
      <c r="D61" s="64">
        <v>90</v>
      </c>
      <c r="E61" s="36"/>
      <c r="F61" s="36">
        <f>Tabela19[[#This Row],[Ilość]]*Tabela19[[#This Row],[C.j. netto]]</f>
        <v>0</v>
      </c>
      <c r="G61" s="37"/>
      <c r="H61" s="38"/>
      <c r="I61" s="37"/>
      <c r="J61" s="37"/>
      <c r="K61" s="37"/>
      <c r="L61" s="39"/>
    </row>
    <row r="62" spans="1:12">
      <c r="A62" s="209" t="s">
        <v>345</v>
      </c>
      <c r="B62" s="34" t="s">
        <v>347</v>
      </c>
      <c r="C62" s="35" t="s">
        <v>29</v>
      </c>
      <c r="D62" s="64">
        <v>150</v>
      </c>
      <c r="E62" s="36"/>
      <c r="F62" s="36">
        <f>Tabela19[[#This Row],[Ilość]]*Tabela19[[#This Row],[C.j. netto]]</f>
        <v>0</v>
      </c>
      <c r="G62" s="37"/>
      <c r="H62" s="38"/>
      <c r="I62" s="37"/>
      <c r="J62" s="37"/>
      <c r="K62" s="37"/>
      <c r="L62" s="39"/>
    </row>
    <row r="63" spans="1:12">
      <c r="A63" s="209" t="s">
        <v>346</v>
      </c>
      <c r="B63" s="34" t="s">
        <v>349</v>
      </c>
      <c r="C63" s="35" t="s">
        <v>29</v>
      </c>
      <c r="D63" s="64">
        <v>50</v>
      </c>
      <c r="E63" s="36"/>
      <c r="F63" s="36">
        <f>Tabela19[[#This Row],[Ilość]]*Tabela19[[#This Row],[C.j. netto]]</f>
        <v>0</v>
      </c>
      <c r="G63" s="37"/>
      <c r="H63" s="38"/>
      <c r="I63" s="37"/>
      <c r="J63" s="37"/>
      <c r="K63" s="37"/>
      <c r="L63" s="39"/>
    </row>
    <row r="64" spans="1:12">
      <c r="A64" s="209" t="s">
        <v>348</v>
      </c>
      <c r="B64" s="34" t="s">
        <v>351</v>
      </c>
      <c r="C64" s="35" t="s">
        <v>29</v>
      </c>
      <c r="D64" s="64">
        <v>60</v>
      </c>
      <c r="E64" s="36"/>
      <c r="F64" s="36">
        <f>Tabela19[[#This Row],[Ilość]]*Tabela19[[#This Row],[C.j. netto]]</f>
        <v>0</v>
      </c>
      <c r="G64" s="37"/>
      <c r="H64" s="38"/>
      <c r="I64" s="37"/>
      <c r="J64" s="37"/>
      <c r="K64" s="37"/>
      <c r="L64" s="39"/>
    </row>
    <row r="65" spans="1:12">
      <c r="A65" s="209" t="s">
        <v>350</v>
      </c>
      <c r="B65" s="34" t="s">
        <v>353</v>
      </c>
      <c r="C65" s="35" t="s">
        <v>29</v>
      </c>
      <c r="D65" s="64">
        <v>10</v>
      </c>
      <c r="E65" s="36"/>
      <c r="F65" s="36">
        <f>Tabela19[[#This Row],[Ilość]]*Tabela19[[#This Row],[C.j. netto]]</f>
        <v>0</v>
      </c>
      <c r="G65" s="37"/>
      <c r="H65" s="38"/>
      <c r="I65" s="37"/>
      <c r="J65" s="37"/>
      <c r="K65" s="37"/>
      <c r="L65" s="39"/>
    </row>
    <row r="66" spans="1:12">
      <c r="A66" s="209" t="s">
        <v>352</v>
      </c>
      <c r="B66" s="34" t="s">
        <v>355</v>
      </c>
      <c r="C66" s="35" t="s">
        <v>29</v>
      </c>
      <c r="D66" s="64">
        <v>15</v>
      </c>
      <c r="E66" s="36"/>
      <c r="F66" s="36">
        <f>Tabela19[[#This Row],[Ilość]]*Tabela19[[#This Row],[C.j. netto]]</f>
        <v>0</v>
      </c>
      <c r="G66" s="37"/>
      <c r="H66" s="38"/>
      <c r="I66" s="37"/>
      <c r="J66" s="37"/>
      <c r="K66" s="37"/>
      <c r="L66" s="39"/>
    </row>
    <row r="67" spans="1:12">
      <c r="A67" s="209" t="s">
        <v>354</v>
      </c>
      <c r="B67" s="34" t="s">
        <v>357</v>
      </c>
      <c r="C67" s="35" t="s">
        <v>29</v>
      </c>
      <c r="D67" s="64">
        <v>5</v>
      </c>
      <c r="E67" s="36"/>
      <c r="F67" s="36">
        <f>Tabela19[[#This Row],[Ilość]]*Tabela19[[#This Row],[C.j. netto]]</f>
        <v>0</v>
      </c>
      <c r="G67" s="37"/>
      <c r="H67" s="38"/>
      <c r="I67" s="37"/>
      <c r="J67" s="37"/>
      <c r="K67" s="37"/>
      <c r="L67" s="39"/>
    </row>
    <row r="68" spans="1:12">
      <c r="A68" s="209" t="s">
        <v>356</v>
      </c>
      <c r="B68" s="34" t="s">
        <v>359</v>
      </c>
      <c r="C68" s="35" t="s">
        <v>29</v>
      </c>
      <c r="D68" s="64">
        <v>300</v>
      </c>
      <c r="E68" s="36"/>
      <c r="F68" s="36">
        <f>Tabela19[[#This Row],[Ilość]]*Tabela19[[#This Row],[C.j. netto]]</f>
        <v>0</v>
      </c>
      <c r="G68" s="37"/>
      <c r="H68" s="38"/>
      <c r="I68" s="37"/>
      <c r="J68" s="37"/>
      <c r="K68" s="37"/>
      <c r="L68" s="39"/>
    </row>
    <row r="69" spans="1:12">
      <c r="A69" s="209" t="s">
        <v>358</v>
      </c>
      <c r="B69" s="34" t="s">
        <v>361</v>
      </c>
      <c r="C69" s="35" t="s">
        <v>29</v>
      </c>
      <c r="D69" s="64">
        <v>40</v>
      </c>
      <c r="E69" s="36"/>
      <c r="F69" s="36">
        <f>Tabela19[[#This Row],[Ilość]]*Tabela19[[#This Row],[C.j. netto]]</f>
        <v>0</v>
      </c>
      <c r="G69" s="37"/>
      <c r="H69" s="38"/>
      <c r="I69" s="37"/>
      <c r="J69" s="37"/>
      <c r="K69" s="37"/>
      <c r="L69" s="39"/>
    </row>
    <row r="70" spans="1:12" ht="25.5">
      <c r="A70" s="209" t="s">
        <v>360</v>
      </c>
      <c r="B70" s="34" t="s">
        <v>362</v>
      </c>
      <c r="C70" s="35" t="s">
        <v>29</v>
      </c>
      <c r="D70" s="64">
        <v>500</v>
      </c>
      <c r="E70" s="36"/>
      <c r="F70" s="36">
        <f>Tabela19[[#This Row],[Ilość]]*Tabela19[[#This Row],[C.j. netto]]</f>
        <v>0</v>
      </c>
      <c r="G70" s="37"/>
      <c r="H70" s="38"/>
      <c r="I70" s="37"/>
      <c r="J70" s="37"/>
      <c r="K70" s="37"/>
      <c r="L70" s="39"/>
    </row>
    <row r="71" spans="1:12">
      <c r="A71" s="209" t="s">
        <v>1299</v>
      </c>
      <c r="B71" s="34" t="s">
        <v>364</v>
      </c>
      <c r="C71" s="35" t="s">
        <v>29</v>
      </c>
      <c r="D71" s="64">
        <v>100</v>
      </c>
      <c r="E71" s="36"/>
      <c r="F71" s="36">
        <f>Tabela19[[#This Row],[Ilość]]*Tabela19[[#This Row],[C.j. netto]]</f>
        <v>0</v>
      </c>
      <c r="G71" s="37"/>
      <c r="H71" s="38"/>
      <c r="I71" s="37"/>
      <c r="J71" s="37"/>
      <c r="K71" s="37"/>
      <c r="L71" s="39"/>
    </row>
    <row r="72" spans="1:12" ht="25.5">
      <c r="A72" s="209" t="s">
        <v>363</v>
      </c>
      <c r="B72" s="34" t="s">
        <v>561</v>
      </c>
      <c r="C72" s="35" t="s">
        <v>29</v>
      </c>
      <c r="D72" s="64">
        <v>200</v>
      </c>
      <c r="E72" s="36"/>
      <c r="F72" s="36">
        <f>Tabela19[[#This Row],[Ilość]]*Tabela19[[#This Row],[C.j. netto]]</f>
        <v>0</v>
      </c>
      <c r="G72" s="37"/>
      <c r="H72" s="38"/>
      <c r="I72" s="37"/>
      <c r="J72" s="37"/>
      <c r="K72" s="37"/>
      <c r="L72" s="39"/>
    </row>
    <row r="73" spans="1:12">
      <c r="A73" s="209" t="s">
        <v>365</v>
      </c>
      <c r="B73" s="34" t="s">
        <v>367</v>
      </c>
      <c r="C73" s="35" t="s">
        <v>29</v>
      </c>
      <c r="D73" s="64">
        <v>30</v>
      </c>
      <c r="E73" s="36"/>
      <c r="F73" s="36">
        <f>Tabela19[[#This Row],[Ilość]]*Tabela19[[#This Row],[C.j. netto]]</f>
        <v>0</v>
      </c>
      <c r="G73" s="37"/>
      <c r="H73" s="38"/>
      <c r="I73" s="37"/>
      <c r="J73" s="37"/>
      <c r="K73" s="37"/>
      <c r="L73" s="39"/>
    </row>
    <row r="74" spans="1:12">
      <c r="A74" s="209" t="s">
        <v>366</v>
      </c>
      <c r="B74" s="34" t="s">
        <v>368</v>
      </c>
      <c r="C74" s="35" t="s">
        <v>29</v>
      </c>
      <c r="D74" s="64">
        <v>40</v>
      </c>
      <c r="E74" s="36"/>
      <c r="F74" s="36">
        <f>Tabela19[[#This Row],[Ilość]]*Tabela19[[#This Row],[C.j. netto]]</f>
        <v>0</v>
      </c>
      <c r="G74" s="37"/>
      <c r="H74" s="38"/>
      <c r="I74" s="37"/>
      <c r="J74" s="37"/>
      <c r="K74" s="37"/>
      <c r="L74" s="39"/>
    </row>
    <row r="75" spans="1:12">
      <c r="A75" s="209" t="s">
        <v>1300</v>
      </c>
      <c r="B75" s="34" t="s">
        <v>370</v>
      </c>
      <c r="C75" s="35" t="s">
        <v>29</v>
      </c>
      <c r="D75" s="64">
        <v>60</v>
      </c>
      <c r="E75" s="36"/>
      <c r="F75" s="36">
        <f>Tabela19[[#This Row],[Ilość]]*Tabela19[[#This Row],[C.j. netto]]</f>
        <v>0</v>
      </c>
      <c r="G75" s="37"/>
      <c r="H75" s="38"/>
      <c r="I75" s="37"/>
      <c r="J75" s="37"/>
      <c r="K75" s="37"/>
      <c r="L75" s="39"/>
    </row>
    <row r="76" spans="1:12">
      <c r="A76" s="209" t="s">
        <v>369</v>
      </c>
      <c r="B76" s="34" t="s">
        <v>371</v>
      </c>
      <c r="C76" s="35" t="s">
        <v>29</v>
      </c>
      <c r="D76" s="64">
        <v>500</v>
      </c>
      <c r="E76" s="36"/>
      <c r="F76" s="36">
        <f>Tabela19[[#This Row],[Ilość]]*Tabela19[[#This Row],[C.j. netto]]</f>
        <v>0</v>
      </c>
      <c r="G76" s="37"/>
      <c r="H76" s="38"/>
      <c r="I76" s="37"/>
      <c r="J76" s="37"/>
      <c r="K76" s="37"/>
      <c r="L76" s="39"/>
    </row>
    <row r="77" spans="1:12">
      <c r="A77" s="209" t="s">
        <v>1301</v>
      </c>
      <c r="B77" s="34" t="s">
        <v>373</v>
      </c>
      <c r="C77" s="35" t="s">
        <v>29</v>
      </c>
      <c r="D77" s="64">
        <v>700</v>
      </c>
      <c r="E77" s="36"/>
      <c r="F77" s="36">
        <f>Tabela19[[#This Row],[Ilość]]*Tabela19[[#This Row],[C.j. netto]]</f>
        <v>0</v>
      </c>
      <c r="G77" s="37"/>
      <c r="H77" s="38"/>
      <c r="I77" s="37"/>
      <c r="J77" s="37"/>
      <c r="K77" s="37"/>
      <c r="L77" s="39"/>
    </row>
    <row r="78" spans="1:12">
      <c r="A78" s="209" t="s">
        <v>372</v>
      </c>
      <c r="B78" s="34" t="s">
        <v>375</v>
      </c>
      <c r="C78" s="35" t="s">
        <v>29</v>
      </c>
      <c r="D78" s="64">
        <v>350</v>
      </c>
      <c r="E78" s="36"/>
      <c r="F78" s="36">
        <f>Tabela19[[#This Row],[Ilość]]*Tabela19[[#This Row],[C.j. netto]]</f>
        <v>0</v>
      </c>
      <c r="G78" s="37"/>
      <c r="H78" s="38"/>
      <c r="I78" s="37"/>
      <c r="J78" s="37"/>
      <c r="K78" s="37"/>
      <c r="L78" s="39"/>
    </row>
    <row r="79" spans="1:12">
      <c r="A79" s="209" t="s">
        <v>374</v>
      </c>
      <c r="B79" s="34" t="s">
        <v>377</v>
      </c>
      <c r="C79" s="35" t="s">
        <v>29</v>
      </c>
      <c r="D79" s="64">
        <v>10</v>
      </c>
      <c r="E79" s="36"/>
      <c r="F79" s="36">
        <f>Tabela19[[#This Row],[Ilość]]*Tabela19[[#This Row],[C.j. netto]]</f>
        <v>0</v>
      </c>
      <c r="G79" s="37"/>
      <c r="H79" s="38"/>
      <c r="I79" s="37"/>
      <c r="J79" s="37"/>
      <c r="K79" s="37"/>
      <c r="L79" s="39"/>
    </row>
    <row r="80" spans="1:12">
      <c r="A80" s="209" t="s">
        <v>376</v>
      </c>
      <c r="B80" s="34" t="s">
        <v>379</v>
      </c>
      <c r="C80" s="35" t="s">
        <v>306</v>
      </c>
      <c r="D80" s="64">
        <v>160</v>
      </c>
      <c r="E80" s="36"/>
      <c r="F80" s="36">
        <f>Tabela19[[#This Row],[Ilość]]*Tabela19[[#This Row],[C.j. netto]]</f>
        <v>0</v>
      </c>
      <c r="G80" s="37"/>
      <c r="H80" s="38"/>
      <c r="I80" s="37"/>
      <c r="J80" s="37"/>
      <c r="K80" s="37"/>
      <c r="L80" s="39"/>
    </row>
    <row r="81" spans="1:12">
      <c r="A81" s="209" t="s">
        <v>378</v>
      </c>
      <c r="B81" s="34" t="s">
        <v>380</v>
      </c>
      <c r="C81" s="35" t="s">
        <v>29</v>
      </c>
      <c r="D81" s="64">
        <v>50</v>
      </c>
      <c r="E81" s="36"/>
      <c r="F81" s="36">
        <f>Tabela19[[#This Row],[Ilość]]*Tabela19[[#This Row],[C.j. netto]]</f>
        <v>0</v>
      </c>
      <c r="G81" s="37"/>
      <c r="H81" s="38"/>
      <c r="I81" s="37"/>
      <c r="J81" s="37"/>
      <c r="K81" s="37"/>
      <c r="L81" s="39"/>
    </row>
    <row r="82" spans="1:12">
      <c r="A82" s="209" t="s">
        <v>1302</v>
      </c>
      <c r="B82" s="34" t="s">
        <v>382</v>
      </c>
      <c r="C82" s="35" t="s">
        <v>29</v>
      </c>
      <c r="D82" s="64">
        <v>50</v>
      </c>
      <c r="E82" s="36"/>
      <c r="F82" s="36">
        <f>Tabela19[[#This Row],[Ilość]]*Tabela19[[#This Row],[C.j. netto]]</f>
        <v>0</v>
      </c>
      <c r="G82" s="37"/>
      <c r="H82" s="38"/>
      <c r="I82" s="37"/>
      <c r="J82" s="37"/>
      <c r="K82" s="37"/>
      <c r="L82" s="39"/>
    </row>
    <row r="83" spans="1:12">
      <c r="A83" s="209" t="s">
        <v>381</v>
      </c>
      <c r="B83" s="34" t="s">
        <v>384</v>
      </c>
      <c r="C83" s="35" t="s">
        <v>29</v>
      </c>
      <c r="D83" s="64">
        <v>60</v>
      </c>
      <c r="E83" s="36"/>
      <c r="F83" s="36">
        <f>Tabela19[[#This Row],[Ilość]]*Tabela19[[#This Row],[C.j. netto]]</f>
        <v>0</v>
      </c>
      <c r="G83" s="37"/>
      <c r="H83" s="38"/>
      <c r="I83" s="37"/>
      <c r="J83" s="37"/>
      <c r="K83" s="37"/>
      <c r="L83" s="39"/>
    </row>
    <row r="84" spans="1:12">
      <c r="A84" s="209" t="s">
        <v>383</v>
      </c>
      <c r="B84" s="34" t="s">
        <v>386</v>
      </c>
      <c r="C84" s="35" t="s">
        <v>29</v>
      </c>
      <c r="D84" s="64">
        <v>100</v>
      </c>
      <c r="E84" s="36"/>
      <c r="F84" s="36">
        <f>Tabela19[[#This Row],[Ilość]]*Tabela19[[#This Row],[C.j. netto]]</f>
        <v>0</v>
      </c>
      <c r="G84" s="37"/>
      <c r="H84" s="38"/>
      <c r="I84" s="37"/>
      <c r="J84" s="37"/>
      <c r="K84" s="37"/>
      <c r="L84" s="39"/>
    </row>
    <row r="85" spans="1:12">
      <c r="A85" s="209" t="s">
        <v>385</v>
      </c>
      <c r="B85" s="34" t="s">
        <v>1180</v>
      </c>
      <c r="C85" s="111" t="s">
        <v>29</v>
      </c>
      <c r="D85" s="35">
        <v>85</v>
      </c>
      <c r="E85" s="100"/>
      <c r="F85" s="36">
        <f>Tabela19[[#This Row],[Ilość]]*Tabela19[[#This Row],[C.j. netto]]</f>
        <v>0</v>
      </c>
      <c r="G85" s="37"/>
      <c r="H85" s="38"/>
      <c r="I85" s="37"/>
      <c r="J85" s="37"/>
      <c r="K85" s="37"/>
      <c r="L85" s="39"/>
    </row>
    <row r="86" spans="1:12">
      <c r="A86" s="209" t="s">
        <v>1303</v>
      </c>
      <c r="B86" s="34" t="s">
        <v>387</v>
      </c>
      <c r="C86" s="35" t="s">
        <v>29</v>
      </c>
      <c r="D86" s="64">
        <v>35</v>
      </c>
      <c r="E86" s="36"/>
      <c r="F86" s="36">
        <f>Tabela19[[#This Row],[Ilość]]*Tabela19[[#This Row],[C.j. netto]]</f>
        <v>0</v>
      </c>
      <c r="G86" s="37"/>
      <c r="H86" s="38"/>
      <c r="I86" s="37"/>
      <c r="J86" s="37"/>
      <c r="K86" s="37"/>
      <c r="L86" s="39"/>
    </row>
    <row r="87" spans="1:12">
      <c r="A87" s="209" t="s">
        <v>388</v>
      </c>
      <c r="B87" s="34" t="s">
        <v>389</v>
      </c>
      <c r="C87" s="35" t="s">
        <v>29</v>
      </c>
      <c r="D87" s="64">
        <v>5</v>
      </c>
      <c r="E87" s="36"/>
      <c r="F87" s="36">
        <f>Tabela19[[#This Row],[Ilość]]*Tabela19[[#This Row],[C.j. netto]]</f>
        <v>0</v>
      </c>
      <c r="G87" s="37"/>
      <c r="H87" s="38"/>
      <c r="I87" s="37"/>
      <c r="J87" s="37"/>
      <c r="K87" s="37"/>
      <c r="L87" s="39"/>
    </row>
    <row r="88" spans="1:12">
      <c r="A88" s="209" t="s">
        <v>390</v>
      </c>
      <c r="B88" s="34" t="s">
        <v>391</v>
      </c>
      <c r="C88" s="35" t="s">
        <v>29</v>
      </c>
      <c r="D88" s="64">
        <v>5</v>
      </c>
      <c r="E88" s="36"/>
      <c r="F88" s="36">
        <f>Tabela19[[#This Row],[Ilość]]*Tabela19[[#This Row],[C.j. netto]]</f>
        <v>0</v>
      </c>
      <c r="G88" s="37"/>
      <c r="H88" s="38"/>
      <c r="I88" s="37"/>
      <c r="J88" s="37"/>
      <c r="K88" s="37"/>
      <c r="L88" s="39"/>
    </row>
    <row r="89" spans="1:12">
      <c r="A89" s="209" t="s">
        <v>392</v>
      </c>
      <c r="B89" s="34" t="s">
        <v>393</v>
      </c>
      <c r="C89" s="35" t="s">
        <v>306</v>
      </c>
      <c r="D89" s="64">
        <v>20</v>
      </c>
      <c r="E89" s="36"/>
      <c r="F89" s="36">
        <f>Tabela19[[#This Row],[Ilość]]*Tabela19[[#This Row],[C.j. netto]]</f>
        <v>0</v>
      </c>
      <c r="G89" s="37"/>
      <c r="H89" s="38"/>
      <c r="I89" s="37"/>
      <c r="J89" s="37"/>
      <c r="K89" s="37"/>
      <c r="L89" s="39"/>
    </row>
    <row r="90" spans="1:12">
      <c r="A90" s="209" t="s">
        <v>394</v>
      </c>
      <c r="B90" s="34" t="s">
        <v>395</v>
      </c>
      <c r="C90" s="35" t="s">
        <v>306</v>
      </c>
      <c r="D90" s="64">
        <v>60</v>
      </c>
      <c r="E90" s="36"/>
      <c r="F90" s="36">
        <f>Tabela19[[#This Row],[Ilość]]*Tabela19[[#This Row],[C.j. netto]]</f>
        <v>0</v>
      </c>
      <c r="G90" s="37"/>
      <c r="H90" s="38"/>
      <c r="I90" s="37"/>
      <c r="J90" s="37"/>
      <c r="K90" s="37"/>
      <c r="L90" s="39"/>
    </row>
    <row r="91" spans="1:12">
      <c r="A91" s="209" t="s">
        <v>396</v>
      </c>
      <c r="B91" s="34" t="s">
        <v>397</v>
      </c>
      <c r="C91" s="35" t="s">
        <v>29</v>
      </c>
      <c r="D91" s="64">
        <v>240</v>
      </c>
      <c r="E91" s="36"/>
      <c r="F91" s="36">
        <f>Tabela19[[#This Row],[Ilość]]*Tabela19[[#This Row],[C.j. netto]]</f>
        <v>0</v>
      </c>
      <c r="G91" s="37"/>
      <c r="H91" s="38"/>
      <c r="I91" s="37"/>
      <c r="J91" s="37"/>
      <c r="K91" s="37"/>
      <c r="L91" s="39"/>
    </row>
    <row r="92" spans="1:12">
      <c r="A92" s="209" t="s">
        <v>398</v>
      </c>
      <c r="B92" s="34" t="s">
        <v>399</v>
      </c>
      <c r="C92" s="35" t="s">
        <v>29</v>
      </c>
      <c r="D92" s="64">
        <v>5</v>
      </c>
      <c r="E92" s="36"/>
      <c r="F92" s="36">
        <f>Tabela19[[#This Row],[Ilość]]*Tabela19[[#This Row],[C.j. netto]]</f>
        <v>0</v>
      </c>
      <c r="G92" s="37"/>
      <c r="H92" s="38"/>
      <c r="I92" s="37"/>
      <c r="J92" s="37"/>
      <c r="K92" s="37"/>
      <c r="L92" s="39"/>
    </row>
    <row r="93" spans="1:12">
      <c r="A93" s="209" t="s">
        <v>400</v>
      </c>
      <c r="B93" s="34" t="s">
        <v>401</v>
      </c>
      <c r="C93" s="35" t="s">
        <v>29</v>
      </c>
      <c r="D93" s="64">
        <v>20</v>
      </c>
      <c r="E93" s="36"/>
      <c r="F93" s="36">
        <f>Tabela19[[#This Row],[Ilość]]*Tabela19[[#This Row],[C.j. netto]]</f>
        <v>0</v>
      </c>
      <c r="G93" s="37"/>
      <c r="H93" s="38"/>
      <c r="I93" s="37"/>
      <c r="J93" s="37"/>
      <c r="K93" s="37"/>
      <c r="L93" s="39"/>
    </row>
    <row r="94" spans="1:12">
      <c r="A94" s="209" t="s">
        <v>402</v>
      </c>
      <c r="B94" s="34" t="s">
        <v>403</v>
      </c>
      <c r="C94" s="35" t="s">
        <v>29</v>
      </c>
      <c r="D94" s="64">
        <v>10</v>
      </c>
      <c r="E94" s="36"/>
      <c r="F94" s="36">
        <f>Tabela19[[#This Row],[Ilość]]*Tabela19[[#This Row],[C.j. netto]]</f>
        <v>0</v>
      </c>
      <c r="G94" s="37"/>
      <c r="H94" s="38"/>
      <c r="I94" s="37"/>
      <c r="J94" s="37"/>
      <c r="K94" s="37"/>
      <c r="L94" s="39"/>
    </row>
    <row r="95" spans="1:12" ht="25.5">
      <c r="A95" s="209" t="s">
        <v>1304</v>
      </c>
      <c r="B95" s="34" t="s">
        <v>404</v>
      </c>
      <c r="C95" s="35" t="s">
        <v>29</v>
      </c>
      <c r="D95" s="64">
        <v>80</v>
      </c>
      <c r="E95" s="36"/>
      <c r="F95" s="36">
        <f>Tabela19[[#This Row],[Ilość]]*Tabela19[[#This Row],[C.j. netto]]</f>
        <v>0</v>
      </c>
      <c r="G95" s="37"/>
      <c r="H95" s="38"/>
      <c r="I95" s="37"/>
      <c r="J95" s="37"/>
      <c r="K95" s="37"/>
      <c r="L95" s="39"/>
    </row>
    <row r="96" spans="1:12">
      <c r="A96" s="209" t="s">
        <v>405</v>
      </c>
      <c r="B96" s="34" t="s">
        <v>406</v>
      </c>
      <c r="C96" s="35" t="s">
        <v>29</v>
      </c>
      <c r="D96" s="64">
        <v>400</v>
      </c>
      <c r="E96" s="36"/>
      <c r="F96" s="36">
        <f>Tabela19[[#This Row],[Ilość]]*Tabela19[[#This Row],[C.j. netto]]</f>
        <v>0</v>
      </c>
      <c r="G96" s="37"/>
      <c r="H96" s="38"/>
      <c r="I96" s="37"/>
      <c r="J96" s="37"/>
      <c r="K96" s="37"/>
      <c r="L96" s="39"/>
    </row>
    <row r="97" spans="1:12">
      <c r="A97" s="209" t="s">
        <v>407</v>
      </c>
      <c r="B97" s="34" t="s">
        <v>408</v>
      </c>
      <c r="C97" s="35" t="s">
        <v>29</v>
      </c>
      <c r="D97" s="64">
        <v>30</v>
      </c>
      <c r="E97" s="36"/>
      <c r="F97" s="36">
        <f>Tabela19[[#This Row],[Ilość]]*Tabela19[[#This Row],[C.j. netto]]</f>
        <v>0</v>
      </c>
      <c r="G97" s="37"/>
      <c r="H97" s="38"/>
      <c r="I97" s="37"/>
      <c r="J97" s="37"/>
      <c r="K97" s="37"/>
      <c r="L97" s="39"/>
    </row>
    <row r="98" spans="1:12">
      <c r="A98" s="209" t="s">
        <v>409</v>
      </c>
      <c r="B98" s="34" t="s">
        <v>410</v>
      </c>
      <c r="C98" s="35" t="s">
        <v>29</v>
      </c>
      <c r="D98" s="64">
        <v>1500</v>
      </c>
      <c r="E98" s="36"/>
      <c r="F98" s="36">
        <f>Tabela19[[#This Row],[Ilość]]*Tabela19[[#This Row],[C.j. netto]]</f>
        <v>0</v>
      </c>
      <c r="G98" s="37"/>
      <c r="H98" s="38"/>
      <c r="I98" s="37"/>
      <c r="J98" s="37"/>
      <c r="K98" s="37"/>
      <c r="L98" s="39"/>
    </row>
    <row r="99" spans="1:12">
      <c r="A99" s="209" t="s">
        <v>411</v>
      </c>
      <c r="B99" s="34" t="s">
        <v>412</v>
      </c>
      <c r="C99" s="35" t="s">
        <v>29</v>
      </c>
      <c r="D99" s="64">
        <v>120</v>
      </c>
      <c r="E99" s="36"/>
      <c r="F99" s="36">
        <f>Tabela19[[#This Row],[Ilość]]*Tabela19[[#This Row],[C.j. netto]]</f>
        <v>0</v>
      </c>
      <c r="G99" s="37"/>
      <c r="H99" s="38"/>
      <c r="I99" s="37"/>
      <c r="J99" s="37"/>
      <c r="K99" s="37"/>
      <c r="L99" s="39"/>
    </row>
    <row r="100" spans="1:12">
      <c r="A100" s="209" t="s">
        <v>413</v>
      </c>
      <c r="B100" s="34" t="s">
        <v>414</v>
      </c>
      <c r="C100" s="35" t="s">
        <v>415</v>
      </c>
      <c r="D100" s="64">
        <v>3600</v>
      </c>
      <c r="E100" s="36"/>
      <c r="F100" s="36">
        <f>Tabela19[[#This Row],[Ilość]]*Tabela19[[#This Row],[C.j. netto]]</f>
        <v>0</v>
      </c>
      <c r="G100" s="37"/>
      <c r="H100" s="38"/>
      <c r="I100" s="37"/>
      <c r="J100" s="37"/>
      <c r="K100" s="37"/>
      <c r="L100" s="39"/>
    </row>
    <row r="101" spans="1:12">
      <c r="A101" s="209" t="s">
        <v>1291</v>
      </c>
      <c r="B101" s="34" t="s">
        <v>416</v>
      </c>
      <c r="C101" s="35" t="s">
        <v>29</v>
      </c>
      <c r="D101" s="64">
        <v>300</v>
      </c>
      <c r="E101" s="36"/>
      <c r="F101" s="36">
        <f>Tabela19[[#This Row],[Ilość]]*Tabela19[[#This Row],[C.j. netto]]</f>
        <v>0</v>
      </c>
      <c r="G101" s="37"/>
      <c r="H101" s="38"/>
      <c r="I101" s="37"/>
      <c r="J101" s="37"/>
      <c r="K101" s="37"/>
      <c r="L101" s="39"/>
    </row>
    <row r="102" spans="1:12">
      <c r="A102" s="209" t="s">
        <v>417</v>
      </c>
      <c r="B102" s="34" t="s">
        <v>418</v>
      </c>
      <c r="C102" s="35" t="s">
        <v>29</v>
      </c>
      <c r="D102" s="64">
        <v>1200</v>
      </c>
      <c r="E102" s="36"/>
      <c r="F102" s="36">
        <f>Tabela19[[#This Row],[Ilość]]*Tabela19[[#This Row],[C.j. netto]]</f>
        <v>0</v>
      </c>
      <c r="G102" s="37"/>
      <c r="H102" s="38"/>
      <c r="I102" s="37"/>
      <c r="J102" s="37"/>
      <c r="K102" s="37"/>
      <c r="L102" s="39"/>
    </row>
    <row r="103" spans="1:12">
      <c r="A103" s="209" t="s">
        <v>419</v>
      </c>
      <c r="B103" s="34" t="s">
        <v>420</v>
      </c>
      <c r="C103" s="35" t="s">
        <v>29</v>
      </c>
      <c r="D103" s="64">
        <v>3000</v>
      </c>
      <c r="E103" s="36"/>
      <c r="F103" s="36">
        <f>Tabela19[[#This Row],[Ilość]]*Tabela19[[#This Row],[C.j. netto]]</f>
        <v>0</v>
      </c>
      <c r="G103" s="37"/>
      <c r="H103" s="38"/>
      <c r="I103" s="37"/>
      <c r="J103" s="37"/>
      <c r="K103" s="37"/>
      <c r="L103" s="39"/>
    </row>
    <row r="104" spans="1:12">
      <c r="A104" s="209" t="s">
        <v>421</v>
      </c>
      <c r="B104" s="34" t="s">
        <v>422</v>
      </c>
      <c r="C104" s="35" t="s">
        <v>29</v>
      </c>
      <c r="D104" s="64">
        <v>2000</v>
      </c>
      <c r="E104" s="36"/>
      <c r="F104" s="36">
        <f>Tabela19[[#This Row],[Ilość]]*Tabela19[[#This Row],[C.j. netto]]</f>
        <v>0</v>
      </c>
      <c r="G104" s="37"/>
      <c r="H104" s="38"/>
      <c r="I104" s="37"/>
      <c r="J104" s="37"/>
      <c r="K104" s="37"/>
      <c r="L104" s="39"/>
    </row>
    <row r="105" spans="1:12">
      <c r="A105" s="209" t="s">
        <v>423</v>
      </c>
      <c r="B105" s="34" t="s">
        <v>424</v>
      </c>
      <c r="C105" s="35" t="s">
        <v>29</v>
      </c>
      <c r="D105" s="64">
        <v>420</v>
      </c>
      <c r="E105" s="36"/>
      <c r="F105" s="36">
        <f>Tabela19[[#This Row],[Ilość]]*Tabela19[[#This Row],[C.j. netto]]</f>
        <v>0</v>
      </c>
      <c r="G105" s="37"/>
      <c r="H105" s="38"/>
      <c r="I105" s="37"/>
      <c r="J105" s="37"/>
      <c r="K105" s="37"/>
      <c r="L105" s="39"/>
    </row>
    <row r="106" spans="1:12" ht="25.5">
      <c r="A106" s="209" t="s">
        <v>425</v>
      </c>
      <c r="B106" s="34" t="s">
        <v>426</v>
      </c>
      <c r="C106" s="35" t="s">
        <v>29</v>
      </c>
      <c r="D106" s="64">
        <v>10</v>
      </c>
      <c r="E106" s="36"/>
      <c r="F106" s="36">
        <f>Tabela19[[#This Row],[Ilość]]*Tabela19[[#This Row],[C.j. netto]]</f>
        <v>0</v>
      </c>
      <c r="G106" s="37"/>
      <c r="H106" s="38"/>
      <c r="I106" s="37"/>
      <c r="J106" s="37"/>
      <c r="K106" s="37"/>
      <c r="L106" s="39"/>
    </row>
    <row r="107" spans="1:12" ht="25.5">
      <c r="A107" s="209" t="s">
        <v>427</v>
      </c>
      <c r="B107" s="34" t="s">
        <v>428</v>
      </c>
      <c r="C107" s="35" t="s">
        <v>29</v>
      </c>
      <c r="D107" s="64">
        <v>10</v>
      </c>
      <c r="E107" s="36"/>
      <c r="F107" s="36">
        <f>Tabela19[[#This Row],[Ilość]]*Tabela19[[#This Row],[C.j. netto]]</f>
        <v>0</v>
      </c>
      <c r="G107" s="37"/>
      <c r="H107" s="38"/>
      <c r="I107" s="37"/>
      <c r="J107" s="37"/>
      <c r="K107" s="37"/>
      <c r="L107" s="39"/>
    </row>
    <row r="108" spans="1:12">
      <c r="A108" s="209" t="s">
        <v>429</v>
      </c>
      <c r="B108" s="34" t="s">
        <v>430</v>
      </c>
      <c r="C108" s="35" t="s">
        <v>29</v>
      </c>
      <c r="D108" s="64">
        <v>70</v>
      </c>
      <c r="E108" s="36"/>
      <c r="F108" s="36">
        <f>Tabela19[[#This Row],[Ilość]]*Tabela19[[#This Row],[C.j. netto]]</f>
        <v>0</v>
      </c>
      <c r="G108" s="37"/>
      <c r="H108" s="38"/>
      <c r="I108" s="37"/>
      <c r="J108" s="37"/>
      <c r="K108" s="37"/>
      <c r="L108" s="39"/>
    </row>
    <row r="109" spans="1:12">
      <c r="A109" s="209" t="s">
        <v>431</v>
      </c>
      <c r="B109" s="34" t="s">
        <v>432</v>
      </c>
      <c r="C109" s="35" t="s">
        <v>29</v>
      </c>
      <c r="D109" s="64">
        <v>100</v>
      </c>
      <c r="E109" s="36"/>
      <c r="F109" s="36">
        <f>Tabela19[[#This Row],[Ilość]]*Tabela19[[#This Row],[C.j. netto]]</f>
        <v>0</v>
      </c>
      <c r="G109" s="37"/>
      <c r="H109" s="38"/>
      <c r="I109" s="37"/>
      <c r="J109" s="37"/>
      <c r="K109" s="37"/>
      <c r="L109" s="39"/>
    </row>
    <row r="110" spans="1:12">
      <c r="A110" s="209" t="s">
        <v>433</v>
      </c>
      <c r="B110" s="34" t="s">
        <v>434</v>
      </c>
      <c r="C110" s="35" t="s">
        <v>29</v>
      </c>
      <c r="D110" s="64">
        <v>80</v>
      </c>
      <c r="E110" s="36"/>
      <c r="F110" s="36">
        <f>Tabela19[[#This Row],[Ilość]]*Tabela19[[#This Row],[C.j. netto]]</f>
        <v>0</v>
      </c>
      <c r="G110" s="37"/>
      <c r="H110" s="38"/>
      <c r="I110" s="37"/>
      <c r="J110" s="37"/>
      <c r="K110" s="37"/>
      <c r="L110" s="39"/>
    </row>
    <row r="111" spans="1:12">
      <c r="A111" s="209" t="s">
        <v>435</v>
      </c>
      <c r="B111" s="34" t="s">
        <v>436</v>
      </c>
      <c r="C111" s="35" t="s">
        <v>29</v>
      </c>
      <c r="D111" s="64">
        <v>2500</v>
      </c>
      <c r="E111" s="36"/>
      <c r="F111" s="36">
        <f>Tabela19[[#This Row],[Ilość]]*Tabela19[[#This Row],[C.j. netto]]</f>
        <v>0</v>
      </c>
      <c r="G111" s="37"/>
      <c r="H111" s="38"/>
      <c r="I111" s="37"/>
      <c r="J111" s="37"/>
      <c r="K111" s="37"/>
      <c r="L111" s="39"/>
    </row>
    <row r="112" spans="1:12">
      <c r="A112" s="209" t="s">
        <v>437</v>
      </c>
      <c r="B112" s="34" t="s">
        <v>438</v>
      </c>
      <c r="C112" s="35" t="s">
        <v>29</v>
      </c>
      <c r="D112" s="64">
        <v>200</v>
      </c>
      <c r="E112" s="36"/>
      <c r="F112" s="36">
        <f>Tabela19[[#This Row],[Ilość]]*Tabela19[[#This Row],[C.j. netto]]</f>
        <v>0</v>
      </c>
      <c r="G112" s="37"/>
      <c r="H112" s="38"/>
      <c r="I112" s="37"/>
      <c r="J112" s="37"/>
      <c r="K112" s="37"/>
      <c r="L112" s="39"/>
    </row>
    <row r="113" spans="1:12">
      <c r="A113" s="209" t="s">
        <v>439</v>
      </c>
      <c r="B113" s="34" t="s">
        <v>440</v>
      </c>
      <c r="C113" s="35" t="s">
        <v>29</v>
      </c>
      <c r="D113" s="64">
        <v>180</v>
      </c>
      <c r="E113" s="36"/>
      <c r="F113" s="36">
        <f>Tabela19[[#This Row],[Ilość]]*Tabela19[[#This Row],[C.j. netto]]</f>
        <v>0</v>
      </c>
      <c r="G113" s="37"/>
      <c r="H113" s="38"/>
      <c r="I113" s="37"/>
      <c r="J113" s="37"/>
      <c r="K113" s="37"/>
      <c r="L113" s="39"/>
    </row>
    <row r="114" spans="1:12" ht="25.5">
      <c r="A114" s="209" t="s">
        <v>441</v>
      </c>
      <c r="B114" s="34" t="s">
        <v>442</v>
      </c>
      <c r="C114" s="35" t="s">
        <v>29</v>
      </c>
      <c r="D114" s="64">
        <v>45</v>
      </c>
      <c r="E114" s="36"/>
      <c r="F114" s="36">
        <f>Tabela19[[#This Row],[Ilość]]*Tabela19[[#This Row],[C.j. netto]]</f>
        <v>0</v>
      </c>
      <c r="G114" s="37"/>
      <c r="H114" s="38"/>
      <c r="I114" s="37"/>
      <c r="J114" s="37"/>
      <c r="K114" s="37"/>
      <c r="L114" s="39"/>
    </row>
    <row r="115" spans="1:12">
      <c r="A115" s="209" t="s">
        <v>443</v>
      </c>
      <c r="B115" s="34" t="s">
        <v>444</v>
      </c>
      <c r="C115" s="35" t="s">
        <v>29</v>
      </c>
      <c r="D115" s="64">
        <v>120</v>
      </c>
      <c r="E115" s="36"/>
      <c r="F115" s="36">
        <f>Tabela19[[#This Row],[Ilość]]*Tabela19[[#This Row],[C.j. netto]]</f>
        <v>0</v>
      </c>
      <c r="G115" s="37"/>
      <c r="H115" s="38"/>
      <c r="I115" s="37"/>
      <c r="J115" s="37"/>
      <c r="K115" s="37"/>
      <c r="L115" s="39"/>
    </row>
    <row r="116" spans="1:12">
      <c r="A116" s="209" t="s">
        <v>445</v>
      </c>
      <c r="B116" s="34" t="s">
        <v>446</v>
      </c>
      <c r="C116" s="35" t="s">
        <v>29</v>
      </c>
      <c r="D116" s="64">
        <v>8</v>
      </c>
      <c r="E116" s="36"/>
      <c r="F116" s="36">
        <f>Tabela19[[#This Row],[Ilość]]*Tabela19[[#This Row],[C.j. netto]]</f>
        <v>0</v>
      </c>
      <c r="G116" s="37"/>
      <c r="H116" s="38"/>
      <c r="I116" s="37"/>
      <c r="J116" s="37"/>
      <c r="K116" s="37"/>
      <c r="L116" s="39"/>
    </row>
    <row r="117" spans="1:12">
      <c r="A117" s="209" t="s">
        <v>447</v>
      </c>
      <c r="B117" s="34" t="s">
        <v>448</v>
      </c>
      <c r="C117" s="35" t="s">
        <v>29</v>
      </c>
      <c r="D117" s="64">
        <v>250</v>
      </c>
      <c r="E117" s="36"/>
      <c r="F117" s="36">
        <f>Tabela19[[#This Row],[Ilość]]*Tabela19[[#This Row],[C.j. netto]]</f>
        <v>0</v>
      </c>
      <c r="G117" s="37"/>
      <c r="H117" s="38"/>
      <c r="I117" s="37"/>
      <c r="J117" s="37"/>
      <c r="K117" s="37"/>
      <c r="L117" s="39"/>
    </row>
    <row r="118" spans="1:12">
      <c r="A118" s="209" t="s">
        <v>449</v>
      </c>
      <c r="B118" s="34" t="s">
        <v>450</v>
      </c>
      <c r="C118" s="35" t="s">
        <v>29</v>
      </c>
      <c r="D118" s="64">
        <v>30</v>
      </c>
      <c r="E118" s="36"/>
      <c r="F118" s="36">
        <f>Tabela19[[#This Row],[Ilość]]*Tabela19[[#This Row],[C.j. netto]]</f>
        <v>0</v>
      </c>
      <c r="G118" s="37"/>
      <c r="H118" s="38"/>
      <c r="I118" s="37"/>
      <c r="J118" s="37"/>
      <c r="K118" s="37"/>
      <c r="L118" s="39"/>
    </row>
    <row r="119" spans="1:12">
      <c r="A119" s="209" t="s">
        <v>451</v>
      </c>
      <c r="B119" s="34" t="s">
        <v>452</v>
      </c>
      <c r="C119" s="35" t="s">
        <v>327</v>
      </c>
      <c r="D119" s="64">
        <v>300</v>
      </c>
      <c r="E119" s="36"/>
      <c r="F119" s="36">
        <f>Tabela19[[#This Row],[Ilość]]*Tabela19[[#This Row],[C.j. netto]]</f>
        <v>0</v>
      </c>
      <c r="G119" s="37"/>
      <c r="H119" s="38"/>
      <c r="I119" s="37"/>
      <c r="J119" s="37"/>
      <c r="K119" s="37"/>
      <c r="L119" s="39"/>
    </row>
    <row r="120" spans="1:12">
      <c r="A120" s="209" t="s">
        <v>453</v>
      </c>
      <c r="B120" s="34" t="s">
        <v>454</v>
      </c>
      <c r="C120" s="35" t="s">
        <v>29</v>
      </c>
      <c r="D120" s="64">
        <v>8</v>
      </c>
      <c r="E120" s="36"/>
      <c r="F120" s="36">
        <f>Tabela19[[#This Row],[Ilość]]*Tabela19[[#This Row],[C.j. netto]]</f>
        <v>0</v>
      </c>
      <c r="G120" s="37"/>
      <c r="H120" s="38"/>
      <c r="I120" s="37"/>
      <c r="J120" s="37"/>
      <c r="K120" s="37"/>
      <c r="L120" s="39"/>
    </row>
    <row r="121" spans="1:12">
      <c r="A121" s="209" t="s">
        <v>455</v>
      </c>
      <c r="B121" s="34" t="s">
        <v>456</v>
      </c>
      <c r="C121" s="35" t="s">
        <v>29</v>
      </c>
      <c r="D121" s="64">
        <v>5</v>
      </c>
      <c r="E121" s="36"/>
      <c r="F121" s="36">
        <f>Tabela19[[#This Row],[Ilość]]*Tabela19[[#This Row],[C.j. netto]]</f>
        <v>0</v>
      </c>
      <c r="G121" s="37"/>
      <c r="H121" s="38"/>
      <c r="I121" s="37"/>
      <c r="J121" s="37"/>
      <c r="K121" s="37"/>
      <c r="L121" s="39"/>
    </row>
    <row r="122" spans="1:12">
      <c r="A122" s="209" t="s">
        <v>457</v>
      </c>
      <c r="B122" s="34" t="s">
        <v>458</v>
      </c>
      <c r="C122" s="35" t="s">
        <v>29</v>
      </c>
      <c r="D122" s="64">
        <v>60</v>
      </c>
      <c r="E122" s="36"/>
      <c r="F122" s="36">
        <f>Tabela19[[#This Row],[Ilość]]*Tabela19[[#This Row],[C.j. netto]]</f>
        <v>0</v>
      </c>
      <c r="G122" s="37"/>
      <c r="H122" s="38"/>
      <c r="I122" s="37"/>
      <c r="J122" s="37"/>
      <c r="K122" s="37"/>
      <c r="L122" s="39"/>
    </row>
    <row r="123" spans="1:12">
      <c r="A123" s="209" t="s">
        <v>459</v>
      </c>
      <c r="B123" s="34" t="s">
        <v>460</v>
      </c>
      <c r="C123" s="35" t="s">
        <v>29</v>
      </c>
      <c r="D123" s="64">
        <v>1200</v>
      </c>
      <c r="E123" s="36"/>
      <c r="F123" s="36">
        <f>Tabela19[[#This Row],[Ilość]]*Tabela19[[#This Row],[C.j. netto]]</f>
        <v>0</v>
      </c>
      <c r="G123" s="37"/>
      <c r="H123" s="38"/>
      <c r="I123" s="37"/>
      <c r="J123" s="37"/>
      <c r="K123" s="37"/>
      <c r="L123" s="39"/>
    </row>
    <row r="124" spans="1:12">
      <c r="A124" s="209" t="s">
        <v>461</v>
      </c>
      <c r="B124" s="34" t="s">
        <v>462</v>
      </c>
      <c r="C124" s="35" t="s">
        <v>29</v>
      </c>
      <c r="D124" s="64">
        <v>10</v>
      </c>
      <c r="E124" s="36"/>
      <c r="F124" s="36">
        <f>Tabela19[[#This Row],[Ilość]]*Tabela19[[#This Row],[C.j. netto]]</f>
        <v>0</v>
      </c>
      <c r="G124" s="37"/>
      <c r="H124" s="38"/>
      <c r="I124" s="37"/>
      <c r="J124" s="37"/>
      <c r="K124" s="37"/>
      <c r="L124" s="39"/>
    </row>
    <row r="125" spans="1:12">
      <c r="A125" s="209" t="s">
        <v>463</v>
      </c>
      <c r="B125" s="34" t="s">
        <v>464</v>
      </c>
      <c r="C125" s="35" t="s">
        <v>306</v>
      </c>
      <c r="D125" s="64">
        <v>8</v>
      </c>
      <c r="E125" s="36"/>
      <c r="F125" s="36">
        <f>Tabela19[[#This Row],[Ilość]]*Tabela19[[#This Row],[C.j. netto]]</f>
        <v>0</v>
      </c>
      <c r="G125" s="37"/>
      <c r="H125" s="38"/>
      <c r="I125" s="37"/>
      <c r="J125" s="37"/>
      <c r="K125" s="37"/>
      <c r="L125" s="39"/>
    </row>
    <row r="126" spans="1:12">
      <c r="A126" s="209" t="s">
        <v>465</v>
      </c>
      <c r="B126" s="34" t="s">
        <v>466</v>
      </c>
      <c r="C126" s="35" t="s">
        <v>106</v>
      </c>
      <c r="D126" s="64">
        <v>6500</v>
      </c>
      <c r="E126" s="36"/>
      <c r="F126" s="36">
        <f>Tabela19[[#This Row],[Ilość]]*Tabela19[[#This Row],[C.j. netto]]</f>
        <v>0</v>
      </c>
      <c r="G126" s="37"/>
      <c r="H126" s="38"/>
      <c r="I126" s="37"/>
      <c r="J126" s="37"/>
      <c r="K126" s="37"/>
      <c r="L126" s="39"/>
    </row>
    <row r="127" spans="1:12">
      <c r="A127" s="209" t="s">
        <v>467</v>
      </c>
      <c r="B127" s="34" t="s">
        <v>468</v>
      </c>
      <c r="C127" s="35" t="s">
        <v>29</v>
      </c>
      <c r="D127" s="64">
        <v>160</v>
      </c>
      <c r="E127" s="36"/>
      <c r="F127" s="36">
        <f>Tabela19[[#This Row],[Ilość]]*Tabela19[[#This Row],[C.j. netto]]</f>
        <v>0</v>
      </c>
      <c r="G127" s="37"/>
      <c r="H127" s="38"/>
      <c r="I127" s="37"/>
      <c r="J127" s="37"/>
      <c r="K127" s="37"/>
      <c r="L127" s="39"/>
    </row>
    <row r="128" spans="1:12">
      <c r="A128" s="209" t="s">
        <v>469</v>
      </c>
      <c r="B128" s="34" t="s">
        <v>470</v>
      </c>
      <c r="C128" s="35" t="s">
        <v>29</v>
      </c>
      <c r="D128" s="64">
        <v>20</v>
      </c>
      <c r="E128" s="36"/>
      <c r="F128" s="36">
        <f>Tabela19[[#This Row],[Ilość]]*Tabela19[[#This Row],[C.j. netto]]</f>
        <v>0</v>
      </c>
      <c r="G128" s="37"/>
      <c r="H128" s="38"/>
      <c r="I128" s="37"/>
      <c r="J128" s="37"/>
      <c r="K128" s="37"/>
      <c r="L128" s="39"/>
    </row>
    <row r="129" spans="1:12" ht="25.5">
      <c r="A129" s="209" t="s">
        <v>471</v>
      </c>
      <c r="B129" s="34" t="s">
        <v>472</v>
      </c>
      <c r="C129" s="35" t="s">
        <v>29</v>
      </c>
      <c r="D129" s="64">
        <v>210</v>
      </c>
      <c r="E129" s="36"/>
      <c r="F129" s="36">
        <f>Tabela19[[#This Row],[Ilość]]*Tabela19[[#This Row],[C.j. netto]]</f>
        <v>0</v>
      </c>
      <c r="G129" s="37"/>
      <c r="H129" s="38"/>
      <c r="I129" s="37"/>
      <c r="J129" s="37"/>
      <c r="K129" s="37"/>
      <c r="L129" s="39"/>
    </row>
    <row r="130" spans="1:12">
      <c r="A130" s="209" t="s">
        <v>473</v>
      </c>
      <c r="B130" s="34" t="s">
        <v>474</v>
      </c>
      <c r="C130" s="35" t="s">
        <v>29</v>
      </c>
      <c r="D130" s="64">
        <v>15</v>
      </c>
      <c r="E130" s="36"/>
      <c r="F130" s="36">
        <f>Tabela19[[#This Row],[Ilość]]*Tabela19[[#This Row],[C.j. netto]]</f>
        <v>0</v>
      </c>
      <c r="G130" s="37"/>
      <c r="H130" s="38"/>
      <c r="I130" s="37"/>
      <c r="J130" s="37"/>
      <c r="K130" s="37"/>
      <c r="L130" s="39"/>
    </row>
    <row r="131" spans="1:12">
      <c r="A131" s="209" t="s">
        <v>475</v>
      </c>
      <c r="B131" s="34" t="s">
        <v>476</v>
      </c>
      <c r="C131" s="35" t="s">
        <v>29</v>
      </c>
      <c r="D131" s="64">
        <v>20</v>
      </c>
      <c r="E131" s="36"/>
      <c r="F131" s="36">
        <f>Tabela19[[#This Row],[Ilość]]*Tabela19[[#This Row],[C.j. netto]]</f>
        <v>0</v>
      </c>
      <c r="G131" s="37"/>
      <c r="H131" s="38"/>
      <c r="I131" s="37"/>
      <c r="J131" s="37"/>
      <c r="K131" s="37"/>
      <c r="L131" s="39"/>
    </row>
    <row r="132" spans="1:12">
      <c r="A132" s="209" t="s">
        <v>477</v>
      </c>
      <c r="B132" s="34" t="s">
        <v>478</v>
      </c>
      <c r="C132" s="35" t="s">
        <v>29</v>
      </c>
      <c r="D132" s="64">
        <v>8</v>
      </c>
      <c r="E132" s="36"/>
      <c r="F132" s="36">
        <f>Tabela19[[#This Row],[Ilość]]*Tabela19[[#This Row],[C.j. netto]]</f>
        <v>0</v>
      </c>
      <c r="G132" s="37"/>
      <c r="H132" s="38"/>
      <c r="I132" s="37"/>
      <c r="J132" s="37"/>
      <c r="K132" s="37"/>
      <c r="L132" s="39"/>
    </row>
    <row r="133" spans="1:12">
      <c r="A133" s="209" t="s">
        <v>479</v>
      </c>
      <c r="B133" s="34" t="s">
        <v>480</v>
      </c>
      <c r="C133" s="35" t="s">
        <v>29</v>
      </c>
      <c r="D133" s="64">
        <v>300</v>
      </c>
      <c r="E133" s="36"/>
      <c r="F133" s="36">
        <f>Tabela19[[#This Row],[Ilość]]*Tabela19[[#This Row],[C.j. netto]]</f>
        <v>0</v>
      </c>
      <c r="G133" s="37"/>
      <c r="H133" s="38"/>
      <c r="I133" s="37"/>
      <c r="J133" s="37"/>
      <c r="K133" s="37"/>
      <c r="L133" s="39"/>
    </row>
    <row r="134" spans="1:12">
      <c r="A134" s="209" t="s">
        <v>1350</v>
      </c>
      <c r="B134" s="34" t="s">
        <v>481</v>
      </c>
      <c r="C134" s="35" t="s">
        <v>29</v>
      </c>
      <c r="D134" s="64">
        <v>35</v>
      </c>
      <c r="E134" s="36"/>
      <c r="F134" s="36">
        <f>Tabela19[[#This Row],[Ilość]]*Tabela19[[#This Row],[C.j. netto]]</f>
        <v>0</v>
      </c>
      <c r="G134" s="37"/>
      <c r="H134" s="38"/>
      <c r="I134" s="37"/>
      <c r="J134" s="37"/>
      <c r="K134" s="37"/>
      <c r="L134" s="39"/>
    </row>
    <row r="135" spans="1:12">
      <c r="A135" s="209" t="s">
        <v>482</v>
      </c>
      <c r="B135" s="34" t="s">
        <v>483</v>
      </c>
      <c r="C135" s="35" t="s">
        <v>29</v>
      </c>
      <c r="D135" s="64">
        <v>500</v>
      </c>
      <c r="E135" s="36"/>
      <c r="F135" s="36">
        <f>Tabela19[[#This Row],[Ilość]]*Tabela19[[#This Row],[C.j. netto]]</f>
        <v>0</v>
      </c>
      <c r="G135" s="37"/>
      <c r="H135" s="38"/>
      <c r="I135" s="37"/>
      <c r="J135" s="37"/>
      <c r="K135" s="37"/>
      <c r="L135" s="39"/>
    </row>
    <row r="136" spans="1:12">
      <c r="A136" s="209" t="s">
        <v>484</v>
      </c>
      <c r="B136" s="34" t="s">
        <v>485</v>
      </c>
      <c r="C136" s="35" t="s">
        <v>29</v>
      </c>
      <c r="D136" s="64">
        <v>5</v>
      </c>
      <c r="E136" s="36"/>
      <c r="F136" s="36">
        <f>Tabela19[[#This Row],[Ilość]]*Tabela19[[#This Row],[C.j. netto]]</f>
        <v>0</v>
      </c>
      <c r="G136" s="37"/>
      <c r="H136" s="38"/>
      <c r="I136" s="37"/>
      <c r="J136" s="37"/>
      <c r="K136" s="37"/>
      <c r="L136" s="39"/>
    </row>
    <row r="137" spans="1:12">
      <c r="A137" s="209" t="s">
        <v>486</v>
      </c>
      <c r="B137" s="34" t="s">
        <v>487</v>
      </c>
      <c r="C137" s="35" t="s">
        <v>29</v>
      </c>
      <c r="D137" s="64">
        <v>20</v>
      </c>
      <c r="E137" s="36"/>
      <c r="F137" s="36">
        <f>Tabela19[[#This Row],[Ilość]]*Tabela19[[#This Row],[C.j. netto]]</f>
        <v>0</v>
      </c>
      <c r="G137" s="37"/>
      <c r="H137" s="38"/>
      <c r="I137" s="37"/>
      <c r="J137" s="37"/>
      <c r="K137" s="37"/>
      <c r="L137" s="39"/>
    </row>
    <row r="138" spans="1:12">
      <c r="A138" s="209" t="s">
        <v>488</v>
      </c>
      <c r="B138" s="34" t="s">
        <v>489</v>
      </c>
      <c r="C138" s="35" t="s">
        <v>29</v>
      </c>
      <c r="D138" s="64">
        <v>20</v>
      </c>
      <c r="E138" s="36"/>
      <c r="F138" s="36">
        <f>Tabela19[[#This Row],[Ilość]]*Tabela19[[#This Row],[C.j. netto]]</f>
        <v>0</v>
      </c>
      <c r="G138" s="37"/>
      <c r="H138" s="38"/>
      <c r="I138" s="37"/>
      <c r="J138" s="37"/>
      <c r="K138" s="37"/>
      <c r="L138" s="39"/>
    </row>
    <row r="139" spans="1:12">
      <c r="A139" s="209" t="s">
        <v>490</v>
      </c>
      <c r="B139" s="34" t="s">
        <v>491</v>
      </c>
      <c r="C139" s="35" t="s">
        <v>29</v>
      </c>
      <c r="D139" s="64">
        <v>600</v>
      </c>
      <c r="E139" s="36"/>
      <c r="F139" s="36">
        <f>Tabela19[[#This Row],[Ilość]]*Tabela19[[#This Row],[C.j. netto]]</f>
        <v>0</v>
      </c>
      <c r="G139" s="37"/>
      <c r="H139" s="38"/>
      <c r="I139" s="37"/>
      <c r="J139" s="37"/>
      <c r="K139" s="37"/>
      <c r="L139" s="39"/>
    </row>
    <row r="140" spans="1:12" ht="25.5">
      <c r="A140" s="209" t="s">
        <v>492</v>
      </c>
      <c r="B140" s="34" t="s">
        <v>493</v>
      </c>
      <c r="C140" s="35" t="s">
        <v>29</v>
      </c>
      <c r="D140" s="64">
        <v>10</v>
      </c>
      <c r="E140" s="36"/>
      <c r="F140" s="36">
        <f>Tabela19[[#This Row],[Ilość]]*Tabela19[[#This Row],[C.j. netto]]</f>
        <v>0</v>
      </c>
      <c r="G140" s="37"/>
      <c r="H140" s="38"/>
      <c r="I140" s="37"/>
      <c r="J140" s="37"/>
      <c r="K140" s="37"/>
      <c r="L140" s="39"/>
    </row>
    <row r="141" spans="1:12">
      <c r="A141" s="209" t="s">
        <v>494</v>
      </c>
      <c r="B141" s="34" t="s">
        <v>495</v>
      </c>
      <c r="C141" s="35" t="s">
        <v>29</v>
      </c>
      <c r="D141" s="64">
        <v>8</v>
      </c>
      <c r="E141" s="36"/>
      <c r="F141" s="36">
        <f>Tabela19[[#This Row],[Ilość]]*Tabela19[[#This Row],[C.j. netto]]</f>
        <v>0</v>
      </c>
      <c r="G141" s="37"/>
      <c r="H141" s="38"/>
      <c r="I141" s="37"/>
      <c r="J141" s="37"/>
      <c r="K141" s="37"/>
      <c r="L141" s="39"/>
    </row>
    <row r="142" spans="1:12">
      <c r="A142" s="209" t="s">
        <v>496</v>
      </c>
      <c r="B142" s="34" t="s">
        <v>497</v>
      </c>
      <c r="C142" s="35" t="s">
        <v>29</v>
      </c>
      <c r="D142" s="64">
        <v>12</v>
      </c>
      <c r="E142" s="36"/>
      <c r="F142" s="36">
        <f>Tabela19[[#This Row],[Ilość]]*Tabela19[[#This Row],[C.j. netto]]</f>
        <v>0</v>
      </c>
      <c r="G142" s="37"/>
      <c r="H142" s="38"/>
      <c r="I142" s="37"/>
      <c r="J142" s="37"/>
      <c r="K142" s="37"/>
      <c r="L142" s="39"/>
    </row>
    <row r="143" spans="1:12">
      <c r="A143" s="209" t="s">
        <v>498</v>
      </c>
      <c r="B143" s="34" t="s">
        <v>499</v>
      </c>
      <c r="C143" s="35" t="s">
        <v>29</v>
      </c>
      <c r="D143" s="64">
        <v>12</v>
      </c>
      <c r="E143" s="36"/>
      <c r="F143" s="36">
        <f>Tabela19[[#This Row],[Ilość]]*Tabela19[[#This Row],[C.j. netto]]</f>
        <v>0</v>
      </c>
      <c r="G143" s="37"/>
      <c r="H143" s="38"/>
      <c r="I143" s="37"/>
      <c r="J143" s="37"/>
      <c r="K143" s="37"/>
      <c r="L143" s="39"/>
    </row>
    <row r="144" spans="1:12">
      <c r="A144" s="209" t="s">
        <v>500</v>
      </c>
      <c r="B144" s="34" t="s">
        <v>501</v>
      </c>
      <c r="C144" s="35" t="s">
        <v>29</v>
      </c>
      <c r="D144" s="64">
        <v>3</v>
      </c>
      <c r="E144" s="36"/>
      <c r="F144" s="36">
        <f>Tabela19[[#This Row],[Ilość]]*Tabela19[[#This Row],[C.j. netto]]</f>
        <v>0</v>
      </c>
      <c r="G144" s="37"/>
      <c r="H144" s="38"/>
      <c r="I144" s="37"/>
      <c r="J144" s="37"/>
      <c r="K144" s="37"/>
      <c r="L144" s="39"/>
    </row>
    <row r="145" spans="1:12">
      <c r="A145" s="209" t="s">
        <v>502</v>
      </c>
      <c r="B145" s="34" t="s">
        <v>503</v>
      </c>
      <c r="C145" s="35" t="s">
        <v>29</v>
      </c>
      <c r="D145" s="64">
        <v>20</v>
      </c>
      <c r="E145" s="36"/>
      <c r="F145" s="36">
        <f>Tabela19[[#This Row],[Ilość]]*Tabela19[[#This Row],[C.j. netto]]</f>
        <v>0</v>
      </c>
      <c r="G145" s="37"/>
      <c r="H145" s="38"/>
      <c r="I145" s="37"/>
      <c r="J145" s="37"/>
      <c r="K145" s="37"/>
      <c r="L145" s="39"/>
    </row>
    <row r="146" spans="1:12">
      <c r="A146" s="209" t="s">
        <v>504</v>
      </c>
      <c r="B146" s="34" t="s">
        <v>505</v>
      </c>
      <c r="C146" s="35" t="s">
        <v>29</v>
      </c>
      <c r="D146" s="64">
        <v>15</v>
      </c>
      <c r="E146" s="36"/>
      <c r="F146" s="36">
        <f>Tabela19[[#This Row],[Ilość]]*Tabela19[[#This Row],[C.j. netto]]</f>
        <v>0</v>
      </c>
      <c r="G146" s="37"/>
      <c r="H146" s="38"/>
      <c r="I146" s="37"/>
      <c r="J146" s="37"/>
      <c r="K146" s="37"/>
      <c r="L146" s="39"/>
    </row>
    <row r="147" spans="1:12">
      <c r="A147" s="209" t="s">
        <v>506</v>
      </c>
      <c r="B147" s="34" t="s">
        <v>507</v>
      </c>
      <c r="C147" s="35" t="s">
        <v>29</v>
      </c>
      <c r="D147" s="64">
        <v>5</v>
      </c>
      <c r="E147" s="36"/>
      <c r="F147" s="36">
        <f>Tabela19[[#This Row],[Ilość]]*Tabela19[[#This Row],[C.j. netto]]</f>
        <v>0</v>
      </c>
      <c r="G147" s="37"/>
      <c r="H147" s="38"/>
      <c r="I147" s="37"/>
      <c r="J147" s="37"/>
      <c r="K147" s="37"/>
      <c r="L147" s="39"/>
    </row>
    <row r="148" spans="1:12">
      <c r="A148" s="209" t="s">
        <v>508</v>
      </c>
      <c r="B148" s="34" t="s">
        <v>509</v>
      </c>
      <c r="C148" s="35" t="s">
        <v>29</v>
      </c>
      <c r="D148" s="64">
        <v>5</v>
      </c>
      <c r="E148" s="36"/>
      <c r="F148" s="36">
        <f>Tabela19[[#This Row],[Ilość]]*Tabela19[[#This Row],[C.j. netto]]</f>
        <v>0</v>
      </c>
      <c r="G148" s="37"/>
      <c r="H148" s="38"/>
      <c r="I148" s="37"/>
      <c r="J148" s="37"/>
      <c r="K148" s="37"/>
      <c r="L148" s="39"/>
    </row>
    <row r="149" spans="1:12">
      <c r="A149" s="209" t="s">
        <v>510</v>
      </c>
      <c r="B149" s="34" t="s">
        <v>511</v>
      </c>
      <c r="C149" s="35" t="s">
        <v>29</v>
      </c>
      <c r="D149" s="64">
        <v>60</v>
      </c>
      <c r="E149" s="36"/>
      <c r="F149" s="36">
        <f>Tabela19[[#This Row],[Ilość]]*Tabela19[[#This Row],[C.j. netto]]</f>
        <v>0</v>
      </c>
      <c r="G149" s="37"/>
      <c r="H149" s="38"/>
      <c r="I149" s="37"/>
      <c r="J149" s="37"/>
      <c r="K149" s="37"/>
      <c r="L149" s="39"/>
    </row>
    <row r="150" spans="1:12">
      <c r="A150" s="209" t="s">
        <v>512</v>
      </c>
      <c r="B150" s="34" t="s">
        <v>513</v>
      </c>
      <c r="C150" s="35" t="s">
        <v>29</v>
      </c>
      <c r="D150" s="64">
        <v>90</v>
      </c>
      <c r="E150" s="36"/>
      <c r="F150" s="36">
        <f>Tabela19[[#This Row],[Ilość]]*Tabela19[[#This Row],[C.j. netto]]</f>
        <v>0</v>
      </c>
      <c r="G150" s="37"/>
      <c r="H150" s="38"/>
      <c r="I150" s="37"/>
      <c r="J150" s="37"/>
      <c r="K150" s="37"/>
      <c r="L150" s="39"/>
    </row>
    <row r="151" spans="1:12">
      <c r="A151" s="209" t="s">
        <v>514</v>
      </c>
      <c r="B151" s="34" t="s">
        <v>515</v>
      </c>
      <c r="C151" s="35" t="s">
        <v>29</v>
      </c>
      <c r="D151" s="64">
        <v>20</v>
      </c>
      <c r="E151" s="36"/>
      <c r="F151" s="36">
        <f>Tabela19[[#This Row],[Ilość]]*Tabela19[[#This Row],[C.j. netto]]</f>
        <v>0</v>
      </c>
      <c r="G151" s="37"/>
      <c r="H151" s="38"/>
      <c r="I151" s="37"/>
      <c r="J151" s="37"/>
      <c r="K151" s="37"/>
      <c r="L151" s="39"/>
    </row>
    <row r="152" spans="1:12">
      <c r="A152" s="209" t="s">
        <v>516</v>
      </c>
      <c r="B152" s="34" t="s">
        <v>517</v>
      </c>
      <c r="C152" s="35" t="s">
        <v>29</v>
      </c>
      <c r="D152" s="64">
        <v>45</v>
      </c>
      <c r="E152" s="36"/>
      <c r="F152" s="36">
        <f>Tabela19[[#This Row],[Ilość]]*Tabela19[[#This Row],[C.j. netto]]</f>
        <v>0</v>
      </c>
      <c r="G152" s="37"/>
      <c r="H152" s="38"/>
      <c r="I152" s="37"/>
      <c r="J152" s="37"/>
      <c r="K152" s="37"/>
      <c r="L152" s="39"/>
    </row>
    <row r="153" spans="1:12">
      <c r="A153" s="209" t="s">
        <v>518</v>
      </c>
      <c r="B153" s="34" t="s">
        <v>519</v>
      </c>
      <c r="C153" s="35" t="s">
        <v>29</v>
      </c>
      <c r="D153" s="64">
        <v>70</v>
      </c>
      <c r="E153" s="36"/>
      <c r="F153" s="36">
        <f>Tabela19[[#This Row],[Ilość]]*Tabela19[[#This Row],[C.j. netto]]</f>
        <v>0</v>
      </c>
      <c r="G153" s="37"/>
      <c r="H153" s="38"/>
      <c r="I153" s="37"/>
      <c r="J153" s="37"/>
      <c r="K153" s="37"/>
      <c r="L153" s="39"/>
    </row>
    <row r="154" spans="1:12">
      <c r="A154" s="209" t="s">
        <v>520</v>
      </c>
      <c r="B154" s="34" t="s">
        <v>521</v>
      </c>
      <c r="C154" s="35" t="s">
        <v>29</v>
      </c>
      <c r="D154" s="64">
        <v>40</v>
      </c>
      <c r="E154" s="36"/>
      <c r="F154" s="36">
        <f>Tabela19[[#This Row],[Ilość]]*Tabela19[[#This Row],[C.j. netto]]</f>
        <v>0</v>
      </c>
      <c r="G154" s="37"/>
      <c r="H154" s="38"/>
      <c r="I154" s="37"/>
      <c r="J154" s="37"/>
      <c r="K154" s="37"/>
      <c r="L154" s="39"/>
    </row>
    <row r="155" spans="1:12">
      <c r="A155" s="209" t="s">
        <v>522</v>
      </c>
      <c r="B155" s="34" t="s">
        <v>523</v>
      </c>
      <c r="C155" s="35" t="s">
        <v>29</v>
      </c>
      <c r="D155" s="64">
        <v>170</v>
      </c>
      <c r="E155" s="36"/>
      <c r="F155" s="36">
        <f>Tabela19[[#This Row],[Ilość]]*Tabela19[[#This Row],[C.j. netto]]</f>
        <v>0</v>
      </c>
      <c r="G155" s="37"/>
      <c r="H155" s="38"/>
      <c r="I155" s="37"/>
      <c r="J155" s="37"/>
      <c r="K155" s="37"/>
      <c r="L155" s="39"/>
    </row>
    <row r="156" spans="1:12">
      <c r="A156" s="209" t="s">
        <v>524</v>
      </c>
      <c r="B156" s="34" t="s">
        <v>525</v>
      </c>
      <c r="C156" s="35" t="s">
        <v>29</v>
      </c>
      <c r="D156" s="64">
        <v>45</v>
      </c>
      <c r="E156" s="36"/>
      <c r="F156" s="36">
        <f>Tabela19[[#This Row],[Ilość]]*Tabela19[[#This Row],[C.j. netto]]</f>
        <v>0</v>
      </c>
      <c r="G156" s="37"/>
      <c r="H156" s="38"/>
      <c r="I156" s="37"/>
      <c r="J156" s="37"/>
      <c r="K156" s="37"/>
      <c r="L156" s="39"/>
    </row>
    <row r="157" spans="1:12">
      <c r="A157" s="209" t="s">
        <v>526</v>
      </c>
      <c r="B157" s="34" t="s">
        <v>527</v>
      </c>
      <c r="C157" s="35" t="s">
        <v>29</v>
      </c>
      <c r="D157" s="64">
        <v>550</v>
      </c>
      <c r="E157" s="36"/>
      <c r="F157" s="36">
        <f>Tabela19[[#This Row],[Ilość]]*Tabela19[[#This Row],[C.j. netto]]</f>
        <v>0</v>
      </c>
      <c r="G157" s="37"/>
      <c r="H157" s="38"/>
      <c r="I157" s="37"/>
      <c r="J157" s="37"/>
      <c r="K157" s="37"/>
      <c r="L157" s="39"/>
    </row>
    <row r="158" spans="1:12">
      <c r="A158" s="209" t="s">
        <v>528</v>
      </c>
      <c r="B158" s="34" t="s">
        <v>529</v>
      </c>
      <c r="C158" s="35" t="s">
        <v>29</v>
      </c>
      <c r="D158" s="64">
        <v>100</v>
      </c>
      <c r="E158" s="36"/>
      <c r="F158" s="36">
        <f>Tabela19[[#This Row],[Ilość]]*Tabela19[[#This Row],[C.j. netto]]</f>
        <v>0</v>
      </c>
      <c r="G158" s="37"/>
      <c r="H158" s="38"/>
      <c r="I158" s="37"/>
      <c r="J158" s="37"/>
      <c r="K158" s="37"/>
      <c r="L158" s="39"/>
    </row>
    <row r="159" spans="1:12">
      <c r="A159" s="209" t="s">
        <v>530</v>
      </c>
      <c r="B159" s="34" t="s">
        <v>531</v>
      </c>
      <c r="C159" s="35" t="s">
        <v>29</v>
      </c>
      <c r="D159" s="64">
        <v>1000</v>
      </c>
      <c r="E159" s="36"/>
      <c r="F159" s="36">
        <f>Tabela19[[#This Row],[Ilość]]*Tabela19[[#This Row],[C.j. netto]]</f>
        <v>0</v>
      </c>
      <c r="G159" s="37"/>
      <c r="H159" s="38"/>
      <c r="I159" s="37"/>
      <c r="J159" s="37"/>
      <c r="K159" s="37"/>
      <c r="L159" s="39"/>
    </row>
    <row r="160" spans="1:12">
      <c r="A160" s="209" t="s">
        <v>532</v>
      </c>
      <c r="B160" s="34" t="s">
        <v>1258</v>
      </c>
      <c r="C160" s="35" t="s">
        <v>29</v>
      </c>
      <c r="D160" s="64">
        <v>200</v>
      </c>
      <c r="E160" s="36"/>
      <c r="F160" s="36">
        <f>Tabela19[[#This Row],[Ilość]]*Tabela19[[#This Row],[C.j. netto]]</f>
        <v>0</v>
      </c>
      <c r="G160" s="37"/>
      <c r="H160" s="38"/>
      <c r="I160" s="37"/>
      <c r="J160" s="37"/>
      <c r="K160" s="37"/>
      <c r="L160" s="39"/>
    </row>
    <row r="161" spans="1:12">
      <c r="A161" s="209" t="s">
        <v>1306</v>
      </c>
      <c r="B161" s="34" t="s">
        <v>533</v>
      </c>
      <c r="C161" s="35" t="s">
        <v>534</v>
      </c>
      <c r="D161" s="64">
        <v>4</v>
      </c>
      <c r="E161" s="36"/>
      <c r="F161" s="36">
        <f>Tabela19[[#This Row],[Ilość]]*Tabela19[[#This Row],[C.j. netto]]</f>
        <v>0</v>
      </c>
      <c r="G161" s="37"/>
      <c r="H161" s="38"/>
      <c r="I161" s="37"/>
      <c r="J161" s="37"/>
      <c r="K161" s="37"/>
      <c r="L161" s="39"/>
    </row>
    <row r="162" spans="1:12">
      <c r="A162" s="209" t="s">
        <v>535</v>
      </c>
      <c r="B162" s="34" t="s">
        <v>536</v>
      </c>
      <c r="C162" s="35" t="s">
        <v>306</v>
      </c>
      <c r="D162" s="64">
        <v>20</v>
      </c>
      <c r="E162" s="36"/>
      <c r="F162" s="36">
        <f>Tabela19[[#This Row],[Ilość]]*Tabela19[[#This Row],[C.j. netto]]</f>
        <v>0</v>
      </c>
      <c r="G162" s="37"/>
      <c r="H162" s="38"/>
      <c r="I162" s="37"/>
      <c r="J162" s="37"/>
      <c r="K162" s="37"/>
      <c r="L162" s="39"/>
    </row>
    <row r="163" spans="1:12" ht="25.5">
      <c r="A163" s="209" t="s">
        <v>537</v>
      </c>
      <c r="B163" s="34" t="s">
        <v>538</v>
      </c>
      <c r="C163" s="35" t="s">
        <v>29</v>
      </c>
      <c r="D163" s="64">
        <v>500</v>
      </c>
      <c r="E163" s="36"/>
      <c r="F163" s="36">
        <f>Tabela19[[#This Row],[Ilość]]*Tabela19[[#This Row],[C.j. netto]]</f>
        <v>0</v>
      </c>
      <c r="G163" s="37"/>
      <c r="H163" s="38"/>
      <c r="I163" s="37"/>
      <c r="J163" s="37"/>
      <c r="K163" s="37"/>
      <c r="L163" s="39"/>
    </row>
    <row r="164" spans="1:12" ht="25.5">
      <c r="A164" s="209" t="s">
        <v>539</v>
      </c>
      <c r="B164" s="34" t="s">
        <v>540</v>
      </c>
      <c r="C164" s="35" t="s">
        <v>29</v>
      </c>
      <c r="D164" s="64">
        <v>420</v>
      </c>
      <c r="E164" s="36"/>
      <c r="F164" s="36">
        <f>Tabela19[[#This Row],[Ilość]]*Tabela19[[#This Row],[C.j. netto]]</f>
        <v>0</v>
      </c>
      <c r="G164" s="37"/>
      <c r="H164" s="38"/>
      <c r="I164" s="37"/>
      <c r="J164" s="37"/>
      <c r="K164" s="37"/>
      <c r="L164" s="39"/>
    </row>
    <row r="165" spans="1:12">
      <c r="A165" s="209" t="s">
        <v>541</v>
      </c>
      <c r="B165" s="34" t="s">
        <v>542</v>
      </c>
      <c r="C165" s="35" t="s">
        <v>29</v>
      </c>
      <c r="D165" s="64">
        <v>5</v>
      </c>
      <c r="E165" s="36"/>
      <c r="F165" s="36">
        <f>Tabela19[[#This Row],[Ilość]]*Tabela19[[#This Row],[C.j. netto]]</f>
        <v>0</v>
      </c>
      <c r="G165" s="37"/>
      <c r="H165" s="38"/>
      <c r="I165" s="37"/>
      <c r="J165" s="37"/>
      <c r="K165" s="37"/>
      <c r="L165" s="39"/>
    </row>
    <row r="166" spans="1:12">
      <c r="A166" s="209" t="s">
        <v>543</v>
      </c>
      <c r="B166" s="34" t="s">
        <v>544</v>
      </c>
      <c r="C166" s="35" t="s">
        <v>29</v>
      </c>
      <c r="D166" s="64">
        <v>400</v>
      </c>
      <c r="E166" s="36"/>
      <c r="F166" s="36">
        <f>Tabela19[[#This Row],[Ilość]]*Tabela19[[#This Row],[C.j. netto]]</f>
        <v>0</v>
      </c>
      <c r="G166" s="37"/>
      <c r="H166" s="38"/>
      <c r="I166" s="37"/>
      <c r="J166" s="37"/>
      <c r="K166" s="37"/>
      <c r="L166" s="39"/>
    </row>
    <row r="167" spans="1:12">
      <c r="A167" s="209" t="s">
        <v>545</v>
      </c>
      <c r="B167" s="34" t="s">
        <v>546</v>
      </c>
      <c r="C167" s="35" t="s">
        <v>29</v>
      </c>
      <c r="D167" s="64">
        <v>90</v>
      </c>
      <c r="E167" s="36"/>
      <c r="F167" s="36">
        <f>Tabela19[[#This Row],[Ilość]]*Tabela19[[#This Row],[C.j. netto]]</f>
        <v>0</v>
      </c>
      <c r="G167" s="37"/>
      <c r="H167" s="38"/>
      <c r="I167" s="37"/>
      <c r="J167" s="37"/>
      <c r="K167" s="37"/>
      <c r="L167" s="39"/>
    </row>
    <row r="168" spans="1:12" ht="25.5">
      <c r="A168" s="209" t="s">
        <v>547</v>
      </c>
      <c r="B168" s="34" t="s">
        <v>548</v>
      </c>
      <c r="C168" s="35" t="s">
        <v>29</v>
      </c>
      <c r="D168" s="64">
        <v>12</v>
      </c>
      <c r="E168" s="36"/>
      <c r="F168" s="36">
        <f>Tabela19[[#This Row],[Ilość]]*Tabela19[[#This Row],[C.j. netto]]</f>
        <v>0</v>
      </c>
      <c r="G168" s="37"/>
      <c r="H168" s="38"/>
      <c r="I168" s="37"/>
      <c r="J168" s="37"/>
      <c r="K168" s="37"/>
      <c r="L168" s="39"/>
    </row>
    <row r="169" spans="1:12">
      <c r="A169" s="209" t="s">
        <v>549</v>
      </c>
      <c r="B169" s="34" t="s">
        <v>550</v>
      </c>
      <c r="C169" s="35" t="s">
        <v>29</v>
      </c>
      <c r="D169" s="64">
        <v>15</v>
      </c>
      <c r="E169" s="36"/>
      <c r="F169" s="36">
        <f>Tabela19[[#This Row],[Ilość]]*Tabela19[[#This Row],[C.j. netto]]</f>
        <v>0</v>
      </c>
      <c r="G169" s="37"/>
      <c r="H169" s="38"/>
      <c r="I169" s="37"/>
      <c r="J169" s="37"/>
      <c r="K169" s="37"/>
      <c r="L169" s="39"/>
    </row>
    <row r="170" spans="1:12">
      <c r="A170" s="209" t="s">
        <v>551</v>
      </c>
      <c r="B170" s="34" t="s">
        <v>552</v>
      </c>
      <c r="C170" s="35" t="s">
        <v>29</v>
      </c>
      <c r="D170" s="64">
        <v>8</v>
      </c>
      <c r="E170" s="36"/>
      <c r="F170" s="36">
        <f>Tabela19[[#This Row],[Ilość]]*Tabela19[[#This Row],[C.j. netto]]</f>
        <v>0</v>
      </c>
      <c r="G170" s="37"/>
      <c r="H170" s="38"/>
      <c r="I170" s="37"/>
      <c r="J170" s="37"/>
      <c r="K170" s="37"/>
      <c r="L170" s="39"/>
    </row>
    <row r="171" spans="1:12">
      <c r="A171" s="209" t="s">
        <v>553</v>
      </c>
      <c r="B171" s="34" t="s">
        <v>554</v>
      </c>
      <c r="C171" s="35" t="s">
        <v>29</v>
      </c>
      <c r="D171" s="64">
        <v>50</v>
      </c>
      <c r="E171" s="36"/>
      <c r="F171" s="36">
        <f>Tabela19[[#This Row],[Ilość]]*Tabela19[[#This Row],[C.j. netto]]</f>
        <v>0</v>
      </c>
      <c r="G171" s="37"/>
      <c r="H171" s="38"/>
      <c r="I171" s="37"/>
      <c r="J171" s="37"/>
      <c r="K171" s="37"/>
      <c r="L171" s="39"/>
    </row>
    <row r="172" spans="1:12">
      <c r="A172" s="209" t="s">
        <v>555</v>
      </c>
      <c r="B172" s="34" t="s">
        <v>556</v>
      </c>
      <c r="C172" s="35" t="s">
        <v>29</v>
      </c>
      <c r="D172" s="64">
        <v>40</v>
      </c>
      <c r="E172" s="36"/>
      <c r="F172" s="36">
        <f>Tabela19[[#This Row],[Ilość]]*Tabela19[[#This Row],[C.j. netto]]</f>
        <v>0</v>
      </c>
      <c r="G172" s="37"/>
      <c r="H172" s="38"/>
      <c r="I172" s="37"/>
      <c r="J172" s="37"/>
      <c r="K172" s="37"/>
      <c r="L172" s="39"/>
    </row>
    <row r="173" spans="1:12">
      <c r="A173" s="209" t="s">
        <v>1181</v>
      </c>
      <c r="B173" s="34" t="s">
        <v>1225</v>
      </c>
      <c r="C173" s="111" t="s">
        <v>29</v>
      </c>
      <c r="D173" s="35">
        <v>50</v>
      </c>
      <c r="E173" s="100"/>
      <c r="F173" s="36">
        <f>Tabela19[[#This Row],[Ilość]]*Tabela19[[#This Row],[C.j. netto]]</f>
        <v>0</v>
      </c>
      <c r="G173" s="37"/>
      <c r="H173" s="38"/>
      <c r="I173" s="37"/>
      <c r="J173" s="37"/>
      <c r="K173" s="37"/>
      <c r="L173" s="39"/>
    </row>
    <row r="174" spans="1:12">
      <c r="A174" s="209" t="s">
        <v>1236</v>
      </c>
      <c r="B174" s="34" t="s">
        <v>1226</v>
      </c>
      <c r="C174" s="111" t="s">
        <v>29</v>
      </c>
      <c r="D174" s="35">
        <v>50</v>
      </c>
      <c r="E174" s="100"/>
      <c r="F174" s="36">
        <f>Tabela19[[#This Row],[Ilość]]*Tabela19[[#This Row],[C.j. netto]]</f>
        <v>0</v>
      </c>
      <c r="G174" s="37"/>
      <c r="H174" s="38"/>
      <c r="I174" s="37"/>
      <c r="J174" s="37"/>
      <c r="K174" s="37"/>
      <c r="L174" s="39"/>
    </row>
    <row r="175" spans="1:12">
      <c r="A175" s="209" t="s">
        <v>1237</v>
      </c>
      <c r="B175" s="34" t="s">
        <v>1214</v>
      </c>
      <c r="C175" s="120" t="s">
        <v>16</v>
      </c>
      <c r="D175" s="50">
        <v>20</v>
      </c>
      <c r="E175" s="121"/>
      <c r="F175" s="36">
        <f>Tabela19[[#This Row],[Ilość]]*Tabela19[[#This Row],[C.j. netto]]</f>
        <v>0</v>
      </c>
      <c r="G175" s="37"/>
      <c r="H175" s="38"/>
      <c r="I175" s="37"/>
      <c r="J175" s="37"/>
      <c r="K175" s="37"/>
      <c r="L175" s="39"/>
    </row>
    <row r="176" spans="1:12">
      <c r="A176" s="209" t="s">
        <v>1238</v>
      </c>
      <c r="B176" s="34" t="s">
        <v>1150</v>
      </c>
      <c r="C176" s="111" t="s">
        <v>29</v>
      </c>
      <c r="D176" s="35">
        <v>50</v>
      </c>
      <c r="E176" s="100"/>
      <c r="F176" s="36">
        <f>Tabela19[[#This Row],[Ilość]]*Tabela19[[#This Row],[C.j. netto]]</f>
        <v>0</v>
      </c>
      <c r="G176" s="37"/>
      <c r="H176" s="38"/>
      <c r="I176" s="37"/>
      <c r="J176" s="37"/>
      <c r="K176" s="37"/>
      <c r="L176" s="39"/>
    </row>
    <row r="177" spans="1:12">
      <c r="A177" s="209" t="s">
        <v>1305</v>
      </c>
      <c r="B177" s="77" t="s">
        <v>1235</v>
      </c>
      <c r="C177" s="116" t="s">
        <v>16</v>
      </c>
      <c r="D177" s="64">
        <v>75</v>
      </c>
      <c r="E177" s="124"/>
      <c r="F177" s="75">
        <f>Tabela19[[#This Row],[Ilość]]*Tabela19[[#This Row],[C.j. netto]]</f>
        <v>0</v>
      </c>
      <c r="G177" s="79"/>
      <c r="H177" s="38"/>
      <c r="I177" s="37"/>
      <c r="J177" s="37"/>
      <c r="K177" s="37"/>
      <c r="L177" s="39"/>
    </row>
    <row r="178" spans="1:12">
      <c r="A178" s="209" t="s">
        <v>1308</v>
      </c>
      <c r="B178" s="133" t="s">
        <v>1074</v>
      </c>
      <c r="C178" s="134" t="s">
        <v>415</v>
      </c>
      <c r="D178" s="134">
        <v>200</v>
      </c>
      <c r="E178" s="139"/>
      <c r="F178" s="75">
        <f>Tabela19[[#This Row],[Ilość]]*Tabela19[[#This Row],[C.j. netto]]</f>
        <v>0</v>
      </c>
      <c r="G178" s="79"/>
      <c r="H178" s="38"/>
      <c r="I178" s="37"/>
      <c r="J178" s="37"/>
      <c r="K178" s="37"/>
      <c r="L178" s="39"/>
    </row>
    <row r="179" spans="1:12">
      <c r="A179" s="209" t="s">
        <v>1309</v>
      </c>
      <c r="B179" s="123" t="s">
        <v>1075</v>
      </c>
      <c r="C179" s="122" t="s">
        <v>415</v>
      </c>
      <c r="D179" s="122">
        <v>200</v>
      </c>
      <c r="E179" s="140"/>
      <c r="F179" s="75">
        <f>Tabela19[[#This Row],[Ilość]]*Tabela19[[#This Row],[C.j. netto]]</f>
        <v>0</v>
      </c>
      <c r="G179" s="79"/>
      <c r="H179" s="38"/>
      <c r="I179" s="37"/>
      <c r="J179" s="37"/>
      <c r="K179" s="37"/>
      <c r="L179" s="39"/>
    </row>
    <row r="180" spans="1:12">
      <c r="A180" s="209" t="s">
        <v>1239</v>
      </c>
      <c r="B180" s="34" t="s">
        <v>1240</v>
      </c>
      <c r="C180" s="120" t="s">
        <v>29</v>
      </c>
      <c r="D180" s="50">
        <v>10</v>
      </c>
      <c r="E180" s="141"/>
      <c r="F180" s="36">
        <f>Tabela19[[#This Row],[Ilość]]*Tabela19[[#This Row],[C.j. netto]]</f>
        <v>0</v>
      </c>
      <c r="G180" s="37"/>
      <c r="H180" s="38"/>
      <c r="I180" s="37"/>
      <c r="J180" s="37"/>
      <c r="K180" s="37"/>
      <c r="L180" s="39"/>
    </row>
    <row r="181" spans="1:12">
      <c r="A181" s="209" t="s">
        <v>1292</v>
      </c>
      <c r="B181" s="204" t="s">
        <v>1288</v>
      </c>
      <c r="C181" s="120" t="s">
        <v>29</v>
      </c>
      <c r="D181" s="50">
        <v>10</v>
      </c>
      <c r="E181" s="141"/>
      <c r="F181" s="36">
        <f>Tabela19[[#This Row],[Ilość]]*Tabela19[[#This Row],[C.j. netto]]</f>
        <v>0</v>
      </c>
      <c r="G181" s="37"/>
      <c r="H181" s="38"/>
      <c r="I181" s="37"/>
      <c r="J181" s="37"/>
      <c r="K181" s="37"/>
      <c r="L181" s="39"/>
    </row>
    <row r="182" spans="1:12">
      <c r="A182" s="209" t="s">
        <v>1307</v>
      </c>
      <c r="B182" s="53" t="s">
        <v>1289</v>
      </c>
      <c r="C182" s="120" t="s">
        <v>29</v>
      </c>
      <c r="D182" s="50">
        <v>1000</v>
      </c>
      <c r="E182" s="141"/>
      <c r="F182" s="36">
        <f>Tabela19[[#This Row],[Ilość]]*Tabela19[[#This Row],[C.j. netto]]</f>
        <v>0</v>
      </c>
      <c r="G182" s="37"/>
      <c r="H182" s="38"/>
      <c r="I182" s="37"/>
      <c r="J182" s="37"/>
      <c r="K182" s="37"/>
      <c r="L182" s="39"/>
    </row>
    <row r="183" spans="1:12">
      <c r="A183" s="209" t="s">
        <v>1335</v>
      </c>
      <c r="B183" s="204" t="s">
        <v>1290</v>
      </c>
      <c r="C183" s="120" t="s">
        <v>29</v>
      </c>
      <c r="D183" s="50">
        <v>20</v>
      </c>
      <c r="E183" s="141"/>
      <c r="F183" s="36">
        <f>Tabela19[[#This Row],[Ilość]]*Tabela19[[#This Row],[C.j. netto]]</f>
        <v>0</v>
      </c>
      <c r="G183" s="37"/>
      <c r="H183" s="38"/>
      <c r="I183" s="37"/>
      <c r="J183" s="37"/>
      <c r="K183" s="37"/>
      <c r="L183" s="39"/>
    </row>
    <row r="184" spans="1:12">
      <c r="A184" s="13" t="s">
        <v>118</v>
      </c>
      <c r="B184" s="135"/>
      <c r="C184" s="136"/>
      <c r="D184" s="136"/>
      <c r="E184" s="137"/>
      <c r="F184" s="138">
        <f>SUBTOTAL(109,Tabela19[Wartość netto])</f>
        <v>0</v>
      </c>
      <c r="G184" s="137"/>
      <c r="H184" s="26"/>
      <c r="I184" s="15"/>
      <c r="J184" s="15"/>
      <c r="K184" s="15"/>
      <c r="L184" s="16"/>
    </row>
    <row r="185" spans="1:12">
      <c r="A185" s="27"/>
      <c r="E185"/>
      <c r="F185" s="28"/>
      <c r="H185" s="24"/>
    </row>
    <row r="186" spans="1:12">
      <c r="A186" s="27"/>
      <c r="E186"/>
      <c r="F186" s="28"/>
      <c r="H186" s="24"/>
    </row>
    <row r="187" spans="1:12" ht="30">
      <c r="A187" s="10" t="s">
        <v>115</v>
      </c>
      <c r="B187" s="5"/>
    </row>
    <row r="188" spans="1:12" ht="15">
      <c r="A188" s="11" t="s">
        <v>116</v>
      </c>
      <c r="B188" s="5"/>
      <c r="L188" s="17"/>
    </row>
    <row r="189" spans="1:12" ht="15">
      <c r="A189" s="11" t="s">
        <v>117</v>
      </c>
      <c r="B189" s="5"/>
      <c r="L189" s="32" t="s">
        <v>119</v>
      </c>
    </row>
    <row r="192" spans="1:12">
      <c r="B192"/>
      <c r="C192"/>
      <c r="D192"/>
      <c r="E192"/>
      <c r="F192"/>
      <c r="H192"/>
    </row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BC0A-895A-4061-BDDA-17BAA2A81607}">
  <sheetPr>
    <pageSetUpPr fitToPage="1"/>
  </sheetPr>
  <dimension ref="A1:M18"/>
  <sheetViews>
    <sheetView workbookViewId="0">
      <selection activeCell="F17" sqref="F17"/>
    </sheetView>
    <sheetView workbookViewId="1">
      <selection activeCell="E18" sqref="E18"/>
    </sheetView>
    <sheetView workbookViewId="2">
      <selection activeCell="E9" sqref="E9:E11"/>
    </sheetView>
  </sheetViews>
  <sheetFormatPr defaultRowHeight="14.25"/>
  <cols>
    <col min="1" max="1" width="14.125" customWidth="1"/>
    <col min="2" max="2" width="49.625" style="6" customWidth="1"/>
    <col min="3" max="4" width="9.125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17</v>
      </c>
      <c r="B1" s="19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48" t="s">
        <v>4</v>
      </c>
      <c r="B9" s="53" t="s">
        <v>120</v>
      </c>
      <c r="C9" s="50" t="s">
        <v>29</v>
      </c>
      <c r="D9" s="50">
        <v>650</v>
      </c>
      <c r="E9" s="52"/>
      <c r="F9" s="54">
        <f>Tabela2[[#This Row],[Ilość]]*Tabela2[[#This Row],[C.j. netto]]</f>
        <v>0</v>
      </c>
      <c r="G9" s="37"/>
      <c r="H9" s="38"/>
      <c r="I9" s="37"/>
      <c r="J9" s="37"/>
      <c r="K9" s="37"/>
      <c r="L9" s="39"/>
    </row>
    <row r="10" spans="1:13" ht="25.5">
      <c r="A10" s="48" t="s">
        <v>5</v>
      </c>
      <c r="B10" s="53" t="s">
        <v>121</v>
      </c>
      <c r="C10" s="50" t="s">
        <v>29</v>
      </c>
      <c r="D10" s="50">
        <v>100</v>
      </c>
      <c r="E10" s="52"/>
      <c r="F10" s="54">
        <f>Tabela2[[#This Row],[Ilość]]*Tabela2[[#This Row],[C.j. netto]]</f>
        <v>0</v>
      </c>
      <c r="G10" s="37"/>
      <c r="H10" s="38"/>
      <c r="I10" s="37"/>
      <c r="J10" s="37"/>
      <c r="K10" s="37"/>
      <c r="L10" s="39"/>
    </row>
    <row r="11" spans="1:13" ht="25.5">
      <c r="A11" s="48" t="s">
        <v>1271</v>
      </c>
      <c r="B11" s="53" t="s">
        <v>122</v>
      </c>
      <c r="C11" s="50" t="s">
        <v>16</v>
      </c>
      <c r="D11" s="50">
        <v>100</v>
      </c>
      <c r="E11" s="52"/>
      <c r="F11" s="54">
        <f>Tabela2[[#This Row],[Ilość]]*Tabela2[[#This Row],[C.j. netto]]</f>
        <v>0</v>
      </c>
      <c r="G11" s="37"/>
      <c r="H11" s="38"/>
      <c r="I11" s="37"/>
      <c r="J11" s="37"/>
      <c r="K11" s="37"/>
      <c r="L11" s="39"/>
    </row>
    <row r="12" spans="1:13">
      <c r="A12" s="13" t="s">
        <v>118</v>
      </c>
      <c r="B12" s="14"/>
      <c r="C12" s="26"/>
      <c r="D12" s="26"/>
      <c r="E12" s="29"/>
      <c r="F12" s="31">
        <f>SUBTOTAL(109,Tabela2[Wartość netto])</f>
        <v>0</v>
      </c>
      <c r="G12" s="15"/>
      <c r="H12" s="30"/>
      <c r="I12" s="15"/>
      <c r="J12" s="15"/>
      <c r="K12" s="15"/>
      <c r="L12" s="16"/>
    </row>
    <row r="13" spans="1:13">
      <c r="A13" s="27"/>
      <c r="E13" s="55"/>
      <c r="F13" s="28"/>
      <c r="H13" s="56"/>
    </row>
    <row r="14" spans="1:13" ht="28.5">
      <c r="A14" s="47" t="s">
        <v>123</v>
      </c>
      <c r="B14" s="6" t="s">
        <v>124</v>
      </c>
    </row>
    <row r="15" spans="1:13" ht="30" customHeight="1"/>
    <row r="16" spans="1:13" ht="30" customHeight="1">
      <c r="A16" s="10" t="s">
        <v>115</v>
      </c>
      <c r="B16" s="5"/>
    </row>
    <row r="17" spans="1:12" ht="30" customHeight="1">
      <c r="A17" s="11" t="s">
        <v>116</v>
      </c>
      <c r="B17" s="5"/>
      <c r="L17" s="17"/>
    </row>
    <row r="18" spans="1:12" ht="15">
      <c r="A18" s="11" t="s">
        <v>117</v>
      </c>
      <c r="B18" s="5"/>
      <c r="L18" s="32" t="s">
        <v>119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C6C23-D983-4591-90BF-A94596B802F4}">
  <sheetPr>
    <pageSetUpPr fitToPage="1"/>
  </sheetPr>
  <dimension ref="A1:M71"/>
  <sheetViews>
    <sheetView topLeftCell="A3" workbookViewId="0">
      <selection activeCell="F41" sqref="F41"/>
    </sheetView>
    <sheetView workbookViewId="1"/>
    <sheetView topLeftCell="A6" workbookViewId="2">
      <selection activeCell="E9" sqref="E9:E36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562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33" t="s">
        <v>4</v>
      </c>
      <c r="B9" s="34" t="s">
        <v>563</v>
      </c>
      <c r="C9" s="35" t="s">
        <v>29</v>
      </c>
      <c r="D9" s="64">
        <v>8</v>
      </c>
      <c r="E9" s="36"/>
      <c r="F9" s="36">
        <f>Tabela20[[#This Row],[Ilość]]*Tabela20[[#This Row],[C.j. netto]]</f>
        <v>0</v>
      </c>
      <c r="G9" s="37"/>
      <c r="H9" s="38"/>
      <c r="I9" s="37"/>
      <c r="J9" s="37"/>
      <c r="K9" s="37"/>
      <c r="L9" s="39"/>
    </row>
    <row r="10" spans="1:13" ht="25.5">
      <c r="A10" s="33" t="s">
        <v>5</v>
      </c>
      <c r="B10" s="34" t="s">
        <v>564</v>
      </c>
      <c r="C10" s="35" t="s">
        <v>29</v>
      </c>
      <c r="D10" s="64">
        <v>10</v>
      </c>
      <c r="E10" s="36"/>
      <c r="F10" s="36">
        <f>Tabela20[[#This Row],[Ilość]]*Tabela20[[#This Row],[C.j. netto]]</f>
        <v>0</v>
      </c>
      <c r="G10" s="37"/>
      <c r="H10" s="38"/>
      <c r="I10" s="37"/>
      <c r="J10" s="37"/>
      <c r="K10" s="37"/>
      <c r="L10" s="39"/>
    </row>
    <row r="11" spans="1:13">
      <c r="A11" s="33" t="s">
        <v>6</v>
      </c>
      <c r="B11" s="34" t="s">
        <v>565</v>
      </c>
      <c r="C11" s="35" t="s">
        <v>29</v>
      </c>
      <c r="D11" s="64">
        <v>120</v>
      </c>
      <c r="E11" s="36"/>
      <c r="F11" s="36">
        <f>Tabela20[[#This Row],[Ilość]]*Tabela20[[#This Row],[C.j. netto]]</f>
        <v>0</v>
      </c>
      <c r="G11" s="37"/>
      <c r="H11" s="38"/>
      <c r="I11" s="66"/>
      <c r="J11" s="37"/>
      <c r="K11" s="37"/>
      <c r="L11" s="39"/>
    </row>
    <row r="12" spans="1:13">
      <c r="A12" s="33" t="s">
        <v>26</v>
      </c>
      <c r="B12" s="34" t="s">
        <v>566</v>
      </c>
      <c r="C12" s="35" t="s">
        <v>29</v>
      </c>
      <c r="D12" s="64">
        <v>420</v>
      </c>
      <c r="E12" s="36"/>
      <c r="F12" s="36">
        <f>Tabela20[[#This Row],[Ilość]]*Tabela20[[#This Row],[C.j. netto]]</f>
        <v>0</v>
      </c>
      <c r="G12" s="37"/>
      <c r="H12" s="38"/>
      <c r="I12" s="66"/>
      <c r="J12" s="37"/>
      <c r="K12" s="37"/>
      <c r="L12" s="39"/>
    </row>
    <row r="13" spans="1:13" ht="25.5">
      <c r="A13" s="33" t="s">
        <v>27</v>
      </c>
      <c r="B13" s="34" t="s">
        <v>567</v>
      </c>
      <c r="C13" s="35" t="s">
        <v>29</v>
      </c>
      <c r="D13" s="64">
        <v>350</v>
      </c>
      <c r="E13" s="36"/>
      <c r="F13" s="36">
        <f>Tabela20[[#This Row],[Ilość]]*Tabela20[[#This Row],[C.j. netto]]</f>
        <v>0</v>
      </c>
      <c r="G13" s="37"/>
      <c r="H13" s="38"/>
      <c r="I13" s="66"/>
      <c r="J13" s="37"/>
      <c r="K13" s="37"/>
      <c r="L13" s="39"/>
    </row>
    <row r="14" spans="1:13">
      <c r="A14" s="33" t="s">
        <v>32</v>
      </c>
      <c r="B14" s="34" t="s">
        <v>568</v>
      </c>
      <c r="C14" s="35" t="s">
        <v>29</v>
      </c>
      <c r="D14" s="64">
        <v>600</v>
      </c>
      <c r="E14" s="36"/>
      <c r="F14" s="36">
        <f>Tabela20[[#This Row],[Ilość]]*Tabela20[[#This Row],[C.j. netto]]</f>
        <v>0</v>
      </c>
      <c r="G14" s="37"/>
      <c r="H14" s="38"/>
      <c r="I14" s="66"/>
      <c r="J14" s="37"/>
      <c r="K14" s="37"/>
      <c r="L14" s="39"/>
    </row>
    <row r="15" spans="1:13">
      <c r="A15" s="33" t="s">
        <v>1310</v>
      </c>
      <c r="B15" s="34" t="s">
        <v>569</v>
      </c>
      <c r="C15" s="35" t="s">
        <v>29</v>
      </c>
      <c r="D15" s="64">
        <v>420</v>
      </c>
      <c r="E15" s="36"/>
      <c r="F15" s="36">
        <f>Tabela20[[#This Row],[Ilość]]*Tabela20[[#This Row],[C.j. netto]]</f>
        <v>0</v>
      </c>
      <c r="G15" s="37"/>
      <c r="H15" s="38"/>
      <c r="I15" s="66"/>
      <c r="J15" s="37"/>
      <c r="K15" s="37"/>
      <c r="L15" s="39"/>
    </row>
    <row r="16" spans="1:13">
      <c r="A16" s="33" t="s">
        <v>36</v>
      </c>
      <c r="B16" s="34" t="s">
        <v>570</v>
      </c>
      <c r="C16" s="35" t="s">
        <v>29</v>
      </c>
      <c r="D16" s="64">
        <v>500</v>
      </c>
      <c r="E16" s="36"/>
      <c r="F16" s="36">
        <f>Tabela20[[#This Row],[Ilość]]*Tabela20[[#This Row],[C.j. netto]]</f>
        <v>0</v>
      </c>
      <c r="G16" s="37"/>
      <c r="H16" s="38"/>
      <c r="I16" s="66"/>
      <c r="J16" s="37"/>
      <c r="K16" s="37"/>
      <c r="L16" s="39"/>
    </row>
    <row r="17" spans="1:12">
      <c r="A17" s="33" t="s">
        <v>38</v>
      </c>
      <c r="B17" s="34" t="s">
        <v>571</v>
      </c>
      <c r="C17" s="35" t="s">
        <v>29</v>
      </c>
      <c r="D17" s="64">
        <v>420</v>
      </c>
      <c r="E17" s="36"/>
      <c r="F17" s="36">
        <f>Tabela20[[#This Row],[Ilość]]*Tabela20[[#This Row],[C.j. netto]]</f>
        <v>0</v>
      </c>
      <c r="G17" s="37"/>
      <c r="H17" s="38"/>
      <c r="I17" s="66"/>
      <c r="J17" s="37"/>
      <c r="K17" s="37"/>
      <c r="L17" s="39"/>
    </row>
    <row r="18" spans="1:12" ht="25.5">
      <c r="A18" s="33" t="s">
        <v>40</v>
      </c>
      <c r="B18" s="34" t="s">
        <v>572</v>
      </c>
      <c r="C18" s="35" t="s">
        <v>29</v>
      </c>
      <c r="D18" s="64">
        <v>320</v>
      </c>
      <c r="E18" s="36"/>
      <c r="F18" s="36">
        <f>Tabela20[[#This Row],[Ilość]]*Tabela20[[#This Row],[C.j. netto]]</f>
        <v>0</v>
      </c>
      <c r="G18" s="37"/>
      <c r="H18" s="38"/>
      <c r="I18" s="66"/>
      <c r="J18" s="37"/>
      <c r="K18" s="37"/>
      <c r="L18" s="39"/>
    </row>
    <row r="19" spans="1:12" ht="25.5">
      <c r="A19" s="33" t="s">
        <v>42</v>
      </c>
      <c r="B19" s="34" t="s">
        <v>573</v>
      </c>
      <c r="C19" s="35" t="s">
        <v>29</v>
      </c>
      <c r="D19" s="64">
        <v>600</v>
      </c>
      <c r="E19" s="36"/>
      <c r="F19" s="36">
        <f>Tabela20[[#This Row],[Ilość]]*Tabela20[[#This Row],[C.j. netto]]</f>
        <v>0</v>
      </c>
      <c r="G19" s="37"/>
      <c r="H19" s="38"/>
      <c r="I19" s="66"/>
      <c r="J19" s="37"/>
      <c r="K19" s="37"/>
      <c r="L19" s="39"/>
    </row>
    <row r="20" spans="1:12" ht="25.5">
      <c r="A20" s="33" t="s">
        <v>45</v>
      </c>
      <c r="B20" s="34" t="s">
        <v>574</v>
      </c>
      <c r="C20" s="35" t="s">
        <v>29</v>
      </c>
      <c r="D20" s="64">
        <v>10</v>
      </c>
      <c r="E20" s="36"/>
      <c r="F20" s="36">
        <f>Tabela20[[#This Row],[Ilość]]*Tabela20[[#This Row],[C.j. netto]]</f>
        <v>0</v>
      </c>
      <c r="G20" s="37"/>
      <c r="H20" s="38"/>
      <c r="I20" s="37"/>
      <c r="J20" s="37"/>
      <c r="K20" s="37"/>
      <c r="L20" s="39"/>
    </row>
    <row r="21" spans="1:12">
      <c r="A21" s="33" t="s">
        <v>47</v>
      </c>
      <c r="B21" s="34" t="s">
        <v>575</v>
      </c>
      <c r="C21" s="35" t="s">
        <v>29</v>
      </c>
      <c r="D21" s="64">
        <v>30</v>
      </c>
      <c r="E21" s="36"/>
      <c r="F21" s="36">
        <f>Tabela20[[#This Row],[Ilość]]*Tabela20[[#This Row],[C.j. netto]]</f>
        <v>0</v>
      </c>
      <c r="G21" s="37"/>
      <c r="H21" s="38"/>
      <c r="I21" s="66"/>
      <c r="J21" s="37"/>
      <c r="K21" s="37"/>
      <c r="L21" s="39"/>
    </row>
    <row r="22" spans="1:12">
      <c r="A22" s="33" t="s">
        <v>48</v>
      </c>
      <c r="B22" s="34" t="s">
        <v>576</v>
      </c>
      <c r="C22" s="35" t="s">
        <v>29</v>
      </c>
      <c r="D22" s="64">
        <v>15</v>
      </c>
      <c r="E22" s="36"/>
      <c r="F22" s="36">
        <f>Tabela20[[#This Row],[Ilość]]*Tabela20[[#This Row],[C.j. netto]]</f>
        <v>0</v>
      </c>
      <c r="G22" s="37"/>
      <c r="H22" s="38"/>
      <c r="I22" s="66"/>
      <c r="J22" s="37"/>
      <c r="K22" s="37"/>
      <c r="L22" s="39"/>
    </row>
    <row r="23" spans="1:12">
      <c r="A23" s="33" t="s">
        <v>49</v>
      </c>
      <c r="B23" s="34" t="s">
        <v>577</v>
      </c>
      <c r="C23" s="35" t="s">
        <v>29</v>
      </c>
      <c r="D23" s="65">
        <v>140</v>
      </c>
      <c r="E23" s="36"/>
      <c r="F23" s="36">
        <f>Tabela20[[#This Row],[Ilość]]*Tabela20[[#This Row],[C.j. netto]]</f>
        <v>0</v>
      </c>
      <c r="G23" s="37"/>
      <c r="H23" s="38"/>
      <c r="I23" s="37"/>
      <c r="J23" s="37"/>
      <c r="K23" s="37"/>
      <c r="L23" s="39"/>
    </row>
    <row r="24" spans="1:12" ht="15.75" customHeight="1">
      <c r="A24" s="33" t="s">
        <v>50</v>
      </c>
      <c r="B24" s="57" t="s">
        <v>1215</v>
      </c>
      <c r="C24" s="111" t="s">
        <v>29</v>
      </c>
      <c r="D24" s="40">
        <v>70</v>
      </c>
      <c r="E24" s="100"/>
      <c r="F24" s="36">
        <f>Tabela20[[#This Row],[Ilość]]*Tabela20[[#This Row],[C.j. netto]]</f>
        <v>0</v>
      </c>
      <c r="G24" s="37"/>
      <c r="H24" s="38"/>
      <c r="I24" s="37"/>
      <c r="J24" s="37"/>
      <c r="K24" s="37"/>
      <c r="L24" s="39"/>
    </row>
    <row r="25" spans="1:12" ht="15.75" customHeight="1">
      <c r="A25" s="33" t="s">
        <v>52</v>
      </c>
      <c r="B25" s="34" t="s">
        <v>1206</v>
      </c>
      <c r="C25" s="111" t="s">
        <v>16</v>
      </c>
      <c r="D25" s="40">
        <v>20</v>
      </c>
      <c r="E25" s="100"/>
      <c r="F25" s="36">
        <f>Tabela20[[#This Row],[Ilość]]*Tabela20[[#This Row],[C.j. netto]]</f>
        <v>0</v>
      </c>
      <c r="G25" s="37"/>
      <c r="H25" s="38"/>
      <c r="I25" s="37"/>
      <c r="J25" s="37"/>
      <c r="K25" s="37"/>
      <c r="L25" s="39"/>
    </row>
    <row r="26" spans="1:12" ht="15.75" customHeight="1">
      <c r="A26" s="33" t="s">
        <v>54</v>
      </c>
      <c r="B26" s="57" t="s">
        <v>148</v>
      </c>
      <c r="C26" s="35" t="s">
        <v>29</v>
      </c>
      <c r="D26" s="35">
        <v>25</v>
      </c>
      <c r="E26" s="36"/>
      <c r="F26" s="36">
        <f>Tabela20[[#This Row],[Ilość]]*Tabela20[[#This Row],[C.j. netto]]</f>
        <v>0</v>
      </c>
      <c r="G26" s="37"/>
      <c r="H26" s="38"/>
      <c r="I26" s="37"/>
      <c r="J26" s="37"/>
      <c r="K26" s="37"/>
      <c r="L26" s="39"/>
    </row>
    <row r="27" spans="1:12" ht="15.75" customHeight="1">
      <c r="A27" s="33" t="s">
        <v>56</v>
      </c>
      <c r="B27" s="57" t="s">
        <v>149</v>
      </c>
      <c r="C27" s="35" t="s">
        <v>29</v>
      </c>
      <c r="D27" s="35">
        <v>15</v>
      </c>
      <c r="E27" s="36"/>
      <c r="F27" s="36">
        <f>Tabela20[[#This Row],[Ilość]]*Tabela20[[#This Row],[C.j. netto]]</f>
        <v>0</v>
      </c>
      <c r="G27" s="37"/>
      <c r="H27" s="38"/>
      <c r="I27" s="37"/>
      <c r="J27" s="37"/>
      <c r="K27" s="37"/>
      <c r="L27" s="39"/>
    </row>
    <row r="28" spans="1:12" ht="15.75" customHeight="1">
      <c r="A28" s="33" t="s">
        <v>57</v>
      </c>
      <c r="B28" s="57" t="s">
        <v>150</v>
      </c>
      <c r="C28" s="35" t="s">
        <v>29</v>
      </c>
      <c r="D28" s="35">
        <v>25</v>
      </c>
      <c r="E28" s="36"/>
      <c r="F28" s="36">
        <f>Tabela20[[#This Row],[Ilość]]*Tabela20[[#This Row],[C.j. netto]]</f>
        <v>0</v>
      </c>
      <c r="G28" s="37"/>
      <c r="H28" s="38"/>
      <c r="I28" s="37"/>
      <c r="J28" s="37"/>
      <c r="K28" s="37"/>
      <c r="L28" s="39"/>
    </row>
    <row r="29" spans="1:12" ht="15.75" customHeight="1">
      <c r="A29" s="33" t="s">
        <v>59</v>
      </c>
      <c r="B29" s="57" t="s">
        <v>151</v>
      </c>
      <c r="C29" s="35" t="s">
        <v>29</v>
      </c>
      <c r="D29" s="35">
        <v>100</v>
      </c>
      <c r="E29" s="36"/>
      <c r="F29" s="36">
        <f>Tabela20[[#This Row],[Ilość]]*Tabela20[[#This Row],[C.j. netto]]</f>
        <v>0</v>
      </c>
      <c r="G29" s="37"/>
      <c r="H29" s="38"/>
      <c r="I29" s="37"/>
      <c r="J29" s="37"/>
      <c r="K29" s="37"/>
      <c r="L29" s="39"/>
    </row>
    <row r="30" spans="1:12" ht="15.75" customHeight="1">
      <c r="A30" s="33" t="s">
        <v>61</v>
      </c>
      <c r="B30" s="57" t="s">
        <v>152</v>
      </c>
      <c r="C30" s="35" t="s">
        <v>29</v>
      </c>
      <c r="D30" s="35">
        <v>300</v>
      </c>
      <c r="E30" s="36"/>
      <c r="F30" s="36">
        <f>Tabela20[[#This Row],[Ilość]]*Tabela20[[#This Row],[C.j. netto]]</f>
        <v>0</v>
      </c>
      <c r="G30" s="37"/>
      <c r="H30" s="38"/>
      <c r="I30" s="37"/>
      <c r="J30" s="37"/>
      <c r="K30" s="37"/>
      <c r="L30" s="39"/>
    </row>
    <row r="31" spans="1:12" ht="15.75" customHeight="1">
      <c r="A31" s="33" t="s">
        <v>63</v>
      </c>
      <c r="B31" s="57" t="s">
        <v>153</v>
      </c>
      <c r="C31" s="35" t="s">
        <v>29</v>
      </c>
      <c r="D31" s="35">
        <v>80</v>
      </c>
      <c r="E31" s="36"/>
      <c r="F31" s="36">
        <f>Tabela20[[#This Row],[Ilość]]*Tabela20[[#This Row],[C.j. netto]]</f>
        <v>0</v>
      </c>
      <c r="G31" s="37"/>
      <c r="H31" s="38"/>
      <c r="I31" s="37"/>
      <c r="J31" s="37"/>
      <c r="K31" s="37"/>
      <c r="L31" s="39"/>
    </row>
    <row r="32" spans="1:12" ht="15.75" customHeight="1">
      <c r="A32" s="33" t="s">
        <v>65</v>
      </c>
      <c r="B32" s="57" t="s">
        <v>154</v>
      </c>
      <c r="C32" s="35" t="s">
        <v>29</v>
      </c>
      <c r="D32" s="35">
        <v>20</v>
      </c>
      <c r="E32" s="36"/>
      <c r="F32" s="36">
        <f>Tabela20[[#This Row],[Ilość]]*Tabela20[[#This Row],[C.j. netto]]</f>
        <v>0</v>
      </c>
      <c r="G32" s="37"/>
      <c r="H32" s="38"/>
      <c r="I32" s="37"/>
      <c r="J32" s="37"/>
      <c r="K32" s="37"/>
      <c r="L32" s="39"/>
    </row>
    <row r="33" spans="1:12" ht="15.75" customHeight="1">
      <c r="A33" s="33" t="s">
        <v>67</v>
      </c>
      <c r="B33" s="57" t="s">
        <v>1279</v>
      </c>
      <c r="C33" s="35" t="s">
        <v>29</v>
      </c>
      <c r="D33" s="35">
        <v>20</v>
      </c>
      <c r="E33" s="36"/>
      <c r="F33" s="36">
        <f>Tabela20[[#This Row],[Ilość]]*Tabela20[[#This Row],[C.j. netto]]</f>
        <v>0</v>
      </c>
      <c r="G33" s="37"/>
      <c r="H33" s="38"/>
      <c r="I33" s="37"/>
      <c r="J33" s="37"/>
      <c r="K33" s="37"/>
      <c r="L33" s="39"/>
    </row>
    <row r="34" spans="1:12" ht="15.75" customHeight="1">
      <c r="A34" s="33" t="s">
        <v>69</v>
      </c>
      <c r="B34" s="57" t="s">
        <v>1278</v>
      </c>
      <c r="C34" s="35" t="s">
        <v>29</v>
      </c>
      <c r="D34" s="35">
        <v>100</v>
      </c>
      <c r="E34" s="36"/>
      <c r="F34" s="36">
        <f>Tabela20[[#This Row],[Ilość]]*Tabela20[[#This Row],[C.j. netto]]</f>
        <v>0</v>
      </c>
      <c r="G34" s="37"/>
      <c r="H34" s="38"/>
      <c r="I34" s="37"/>
      <c r="J34" s="37"/>
      <c r="K34" s="37"/>
      <c r="L34" s="39"/>
    </row>
    <row r="35" spans="1:12" ht="15.75" customHeight="1">
      <c r="A35" s="33" t="s">
        <v>71</v>
      </c>
      <c r="B35" s="57" t="s">
        <v>155</v>
      </c>
      <c r="C35" s="35" t="s">
        <v>29</v>
      </c>
      <c r="D35" s="35">
        <v>5</v>
      </c>
      <c r="E35" s="36"/>
      <c r="F35" s="36">
        <f>Tabela20[[#This Row],[Ilość]]*Tabela20[[#This Row],[C.j. netto]]</f>
        <v>0</v>
      </c>
      <c r="G35" s="37"/>
      <c r="H35" s="38"/>
      <c r="I35" s="37"/>
      <c r="J35" s="37"/>
      <c r="K35" s="37"/>
      <c r="L35" s="39"/>
    </row>
    <row r="36" spans="1:12">
      <c r="A36" s="13" t="s">
        <v>118</v>
      </c>
      <c r="B36" s="14"/>
      <c r="C36" s="26"/>
      <c r="D36" s="26"/>
      <c r="E36" s="15"/>
      <c r="F36" s="31">
        <f>SUBTOTAL(109,Tabela20[Wartość netto])</f>
        <v>0</v>
      </c>
      <c r="G36" s="15"/>
      <c r="H36" s="26"/>
      <c r="I36" s="15"/>
      <c r="J36" s="15"/>
      <c r="K36" s="15"/>
      <c r="L36" s="16"/>
    </row>
    <row r="39" spans="1:12" ht="30">
      <c r="A39" s="10" t="s">
        <v>115</v>
      </c>
      <c r="B39" s="5"/>
    </row>
    <row r="40" spans="1:12" ht="15">
      <c r="A40" s="11" t="s">
        <v>116</v>
      </c>
      <c r="B40" s="5"/>
      <c r="L40" s="17"/>
    </row>
    <row r="41" spans="1:12" ht="15">
      <c r="A41" s="11" t="s">
        <v>117</v>
      </c>
      <c r="B41" s="5"/>
      <c r="L41" s="32" t="s">
        <v>119</v>
      </c>
    </row>
    <row r="69" ht="30" customHeight="1"/>
    <row r="70" ht="30" customHeight="1"/>
    <row r="71" ht="30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B39C-555E-4922-9EE3-7BB1B92C7C10}">
  <sheetPr>
    <pageSetUpPr fitToPage="1"/>
  </sheetPr>
  <dimension ref="A1:M16"/>
  <sheetViews>
    <sheetView workbookViewId="0">
      <selection activeCell="F19" sqref="F19"/>
    </sheetView>
    <sheetView workbookViewId="1"/>
    <sheetView workbookViewId="2">
      <selection activeCell="E9" sqref="E9:E10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578</v>
      </c>
      <c r="B1" s="20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48" t="s">
        <v>4</v>
      </c>
      <c r="B9" s="57" t="s">
        <v>1354</v>
      </c>
      <c r="C9" s="35" t="s">
        <v>29</v>
      </c>
      <c r="D9" s="35">
        <v>50</v>
      </c>
      <c r="E9" s="36"/>
      <c r="F9" s="36">
        <f>Tabela21[[#This Row],[Ilość]]*Tabela21[[#This Row],[C.j. netto]]</f>
        <v>0</v>
      </c>
      <c r="G9" s="37"/>
      <c r="H9" s="38"/>
      <c r="I9" s="66"/>
      <c r="J9" s="37"/>
      <c r="K9" s="37"/>
      <c r="L9" s="39"/>
    </row>
    <row r="10" spans="1:13">
      <c r="A10" s="48" t="s">
        <v>1311</v>
      </c>
      <c r="B10" s="57" t="s">
        <v>1353</v>
      </c>
      <c r="C10" s="35" t="s">
        <v>29</v>
      </c>
      <c r="D10" s="35">
        <v>100</v>
      </c>
      <c r="E10" s="36"/>
      <c r="F10" s="36">
        <f>Tabela21[[#This Row],[Ilość]]*Tabela21[[#This Row],[C.j. netto]]</f>
        <v>0</v>
      </c>
      <c r="G10" s="37"/>
      <c r="H10" s="38"/>
      <c r="I10" s="66"/>
      <c r="J10" s="37"/>
      <c r="K10" s="37"/>
      <c r="L10" s="39"/>
    </row>
    <row r="11" spans="1:13">
      <c r="A11" s="13" t="s">
        <v>118</v>
      </c>
      <c r="B11" s="58"/>
      <c r="C11" s="26"/>
      <c r="D11" s="26"/>
      <c r="E11" s="15"/>
      <c r="F11" s="31">
        <f>SUBTOTAL(109,Tabela21[Wartość netto])</f>
        <v>0</v>
      </c>
      <c r="G11" s="15"/>
      <c r="H11" s="26"/>
      <c r="I11" s="15"/>
      <c r="J11" s="15"/>
      <c r="K11" s="15"/>
      <c r="L11" s="16"/>
    </row>
    <row r="14" spans="1:13" ht="30" customHeight="1">
      <c r="A14" s="10" t="s">
        <v>115</v>
      </c>
      <c r="B14" s="5"/>
    </row>
    <row r="15" spans="1:13" ht="30" customHeight="1">
      <c r="A15" s="11" t="s">
        <v>116</v>
      </c>
      <c r="B15" s="5"/>
      <c r="L15" s="17"/>
    </row>
    <row r="16" spans="1:13" ht="30" customHeight="1">
      <c r="A16" s="11" t="s">
        <v>117</v>
      </c>
      <c r="B16" s="5"/>
      <c r="L16" s="32" t="s">
        <v>119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2350F-4BDA-4CE1-B898-8E167A058D7F}">
  <sheetPr>
    <pageSetUpPr fitToPage="1"/>
  </sheetPr>
  <dimension ref="A1:M74"/>
  <sheetViews>
    <sheetView workbookViewId="0">
      <selection activeCell="A9" sqref="A9:XFD9"/>
    </sheetView>
    <sheetView workbookViewId="1"/>
    <sheetView workbookViewId="2">
      <selection activeCell="E9" sqref="E9:E67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610</v>
      </c>
      <c r="B1" s="210"/>
    </row>
    <row r="3" spans="1:13" ht="39.950000000000003" customHeight="1">
      <c r="A3" s="8" t="s">
        <v>112</v>
      </c>
      <c r="B3" s="265"/>
      <c r="C3" s="265"/>
      <c r="D3" s="265"/>
      <c r="E3" s="265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202" t="s">
        <v>4</v>
      </c>
      <c r="B9" s="125" t="s">
        <v>579</v>
      </c>
      <c r="C9" s="126" t="s">
        <v>103</v>
      </c>
      <c r="D9" s="127">
        <v>10</v>
      </c>
      <c r="E9" s="128"/>
      <c r="F9" s="36">
        <f>Tabela22[[#This Row],[Ilość]]*Tabela22[[#This Row],[C.j. netto]]</f>
        <v>0</v>
      </c>
      <c r="G9" s="37"/>
      <c r="H9" s="38"/>
      <c r="I9" s="37"/>
      <c r="J9" s="37"/>
      <c r="K9" s="37"/>
      <c r="L9" s="37"/>
    </row>
    <row r="10" spans="1:13">
      <c r="A10" s="202" t="s">
        <v>5</v>
      </c>
      <c r="B10" s="57" t="s">
        <v>580</v>
      </c>
      <c r="C10" s="35" t="s">
        <v>29</v>
      </c>
      <c r="D10" s="64">
        <v>5</v>
      </c>
      <c r="E10" s="36"/>
      <c r="F10" s="36">
        <f>Tabela22[[#This Row],[Ilość]]*Tabela22[[#This Row],[C.j. netto]]</f>
        <v>0</v>
      </c>
      <c r="G10" s="37"/>
      <c r="H10" s="38"/>
      <c r="I10" s="37"/>
      <c r="J10" s="37"/>
      <c r="K10" s="37"/>
      <c r="L10" s="37"/>
    </row>
    <row r="11" spans="1:13">
      <c r="A11" s="202" t="s">
        <v>6</v>
      </c>
      <c r="B11" s="57" t="s">
        <v>581</v>
      </c>
      <c r="C11" s="35" t="s">
        <v>106</v>
      </c>
      <c r="D11" s="64">
        <v>400</v>
      </c>
      <c r="E11" s="36"/>
      <c r="F11" s="36">
        <f>Tabela22[[#This Row],[Ilość]]*Tabela22[[#This Row],[C.j. netto]]</f>
        <v>0</v>
      </c>
      <c r="G11" s="37"/>
      <c r="H11" s="38"/>
      <c r="I11" s="37"/>
      <c r="J11" s="37"/>
      <c r="K11" s="37"/>
      <c r="L11" s="37"/>
    </row>
    <row r="12" spans="1:13">
      <c r="A12" s="202" t="s">
        <v>26</v>
      </c>
      <c r="B12" s="57" t="s">
        <v>582</v>
      </c>
      <c r="C12" s="35" t="s">
        <v>29</v>
      </c>
      <c r="D12" s="64">
        <v>320</v>
      </c>
      <c r="E12" s="36"/>
      <c r="F12" s="36">
        <f>Tabela22[[#This Row],[Ilość]]*Tabela22[[#This Row],[C.j. netto]]</f>
        <v>0</v>
      </c>
      <c r="G12" s="37"/>
      <c r="H12" s="38"/>
      <c r="I12" s="37"/>
      <c r="J12" s="37"/>
      <c r="K12" s="37"/>
      <c r="L12" s="37"/>
    </row>
    <row r="13" spans="1:13">
      <c r="A13" s="202" t="s">
        <v>27</v>
      </c>
      <c r="B13" s="57" t="s">
        <v>583</v>
      </c>
      <c r="C13" s="35" t="s">
        <v>29</v>
      </c>
      <c r="D13" s="64">
        <v>650</v>
      </c>
      <c r="E13" s="36"/>
      <c r="F13" s="36">
        <f>Tabela22[[#This Row],[Ilość]]*Tabela22[[#This Row],[C.j. netto]]</f>
        <v>0</v>
      </c>
      <c r="G13" s="37"/>
      <c r="H13" s="38"/>
      <c r="I13" s="37"/>
      <c r="J13" s="37"/>
      <c r="K13" s="37"/>
      <c r="L13" s="37"/>
    </row>
    <row r="14" spans="1:13">
      <c r="A14" s="202" t="s">
        <v>32</v>
      </c>
      <c r="B14" s="57" t="s">
        <v>584</v>
      </c>
      <c r="C14" s="35" t="s">
        <v>29</v>
      </c>
      <c r="D14" s="64">
        <v>15</v>
      </c>
      <c r="E14" s="36"/>
      <c r="F14" s="36">
        <f>Tabela22[[#This Row],[Ilość]]*Tabela22[[#This Row],[C.j. netto]]</f>
        <v>0</v>
      </c>
      <c r="G14" s="37"/>
      <c r="H14" s="38"/>
      <c r="I14" s="37"/>
      <c r="J14" s="37"/>
      <c r="K14" s="37"/>
      <c r="L14" s="37"/>
    </row>
    <row r="15" spans="1:13">
      <c r="A15" s="202" t="s">
        <v>34</v>
      </c>
      <c r="B15" s="57" t="s">
        <v>585</v>
      </c>
      <c r="C15" s="35" t="s">
        <v>29</v>
      </c>
      <c r="D15" s="64">
        <v>400</v>
      </c>
      <c r="E15" s="36"/>
      <c r="F15" s="36">
        <f>Tabela22[[#This Row],[Ilość]]*Tabela22[[#This Row],[C.j. netto]]</f>
        <v>0</v>
      </c>
      <c r="G15" s="37"/>
      <c r="H15" s="38"/>
      <c r="I15" s="37"/>
      <c r="J15" s="37"/>
      <c r="K15" s="37"/>
      <c r="L15" s="37"/>
    </row>
    <row r="16" spans="1:13">
      <c r="A16" s="202" t="s">
        <v>36</v>
      </c>
      <c r="B16" s="57" t="s">
        <v>586</v>
      </c>
      <c r="C16" s="35" t="s">
        <v>29</v>
      </c>
      <c r="D16" s="64">
        <v>80</v>
      </c>
      <c r="E16" s="36"/>
      <c r="F16" s="36">
        <f>Tabela22[[#This Row],[Ilość]]*Tabela22[[#This Row],[C.j. netto]]</f>
        <v>0</v>
      </c>
      <c r="G16" s="37"/>
      <c r="H16" s="38"/>
      <c r="I16" s="37"/>
      <c r="J16" s="37"/>
      <c r="K16" s="37"/>
      <c r="L16" s="37"/>
    </row>
    <row r="17" spans="1:12">
      <c r="A17" s="202" t="s">
        <v>38</v>
      </c>
      <c r="B17" s="57" t="s">
        <v>587</v>
      </c>
      <c r="C17" s="35" t="s">
        <v>29</v>
      </c>
      <c r="D17" s="64">
        <v>200</v>
      </c>
      <c r="E17" s="36"/>
      <c r="F17" s="36">
        <f>Tabela22[[#This Row],[Ilość]]*Tabela22[[#This Row],[C.j. netto]]</f>
        <v>0</v>
      </c>
      <c r="G17" s="37"/>
      <c r="H17" s="38"/>
      <c r="I17" s="37"/>
      <c r="J17" s="37"/>
      <c r="K17" s="37"/>
      <c r="L17" s="37"/>
    </row>
    <row r="18" spans="1:12">
      <c r="A18" s="202" t="s">
        <v>40</v>
      </c>
      <c r="B18" s="57" t="s">
        <v>588</v>
      </c>
      <c r="C18" s="35" t="s">
        <v>29</v>
      </c>
      <c r="D18" s="64">
        <v>70</v>
      </c>
      <c r="E18" s="36"/>
      <c r="F18" s="36">
        <f>Tabela22[[#This Row],[Ilość]]*Tabela22[[#This Row],[C.j. netto]]</f>
        <v>0</v>
      </c>
      <c r="G18" s="37"/>
      <c r="H18" s="38"/>
      <c r="I18" s="37"/>
      <c r="J18" s="37"/>
      <c r="K18" s="37"/>
      <c r="L18" s="37"/>
    </row>
    <row r="19" spans="1:12">
      <c r="A19" s="202" t="s">
        <v>42</v>
      </c>
      <c r="B19" s="57" t="s">
        <v>589</v>
      </c>
      <c r="C19" s="35" t="s">
        <v>29</v>
      </c>
      <c r="D19" s="64">
        <v>35</v>
      </c>
      <c r="E19" s="36"/>
      <c r="F19" s="36">
        <f>Tabela22[[#This Row],[Ilość]]*Tabela22[[#This Row],[C.j. netto]]</f>
        <v>0</v>
      </c>
      <c r="G19" s="37"/>
      <c r="H19" s="38"/>
      <c r="I19" s="37"/>
      <c r="J19" s="37"/>
      <c r="K19" s="37"/>
      <c r="L19" s="37"/>
    </row>
    <row r="20" spans="1:12">
      <c r="A20" s="202" t="s">
        <v>45</v>
      </c>
      <c r="B20" s="57" t="s">
        <v>590</v>
      </c>
      <c r="C20" s="35" t="s">
        <v>29</v>
      </c>
      <c r="D20" s="64">
        <v>20</v>
      </c>
      <c r="E20" s="36"/>
      <c r="F20" s="36">
        <f>Tabela22[[#This Row],[Ilość]]*Tabela22[[#This Row],[C.j. netto]]</f>
        <v>0</v>
      </c>
      <c r="G20" s="37"/>
      <c r="H20" s="38"/>
      <c r="I20" s="37"/>
      <c r="J20" s="37"/>
      <c r="K20" s="37"/>
      <c r="L20" s="37"/>
    </row>
    <row r="21" spans="1:12">
      <c r="A21" s="202" t="s">
        <v>47</v>
      </c>
      <c r="B21" s="57" t="s">
        <v>591</v>
      </c>
      <c r="C21" s="35" t="s">
        <v>29</v>
      </c>
      <c r="D21" s="64">
        <v>50</v>
      </c>
      <c r="E21" s="36"/>
      <c r="F21" s="36">
        <f>Tabela22[[#This Row],[Ilość]]*Tabela22[[#This Row],[C.j. netto]]</f>
        <v>0</v>
      </c>
      <c r="G21" s="37"/>
      <c r="H21" s="38"/>
      <c r="I21" s="37"/>
      <c r="J21" s="37"/>
      <c r="K21" s="37"/>
      <c r="L21" s="37"/>
    </row>
    <row r="22" spans="1:12">
      <c r="A22" s="202" t="s">
        <v>48</v>
      </c>
      <c r="B22" s="57" t="s">
        <v>592</v>
      </c>
      <c r="C22" s="35" t="s">
        <v>29</v>
      </c>
      <c r="D22" s="64">
        <v>240</v>
      </c>
      <c r="E22" s="36"/>
      <c r="F22" s="36">
        <f>Tabela22[[#This Row],[Ilość]]*Tabela22[[#This Row],[C.j. netto]]</f>
        <v>0</v>
      </c>
      <c r="G22" s="37"/>
      <c r="H22" s="38"/>
      <c r="I22" s="37"/>
      <c r="J22" s="37"/>
      <c r="K22" s="37"/>
      <c r="L22" s="37"/>
    </row>
    <row r="23" spans="1:12">
      <c r="A23" s="202" t="s">
        <v>49</v>
      </c>
      <c r="B23" s="57" t="s">
        <v>593</v>
      </c>
      <c r="C23" s="35" t="s">
        <v>29</v>
      </c>
      <c r="D23" s="64">
        <v>8</v>
      </c>
      <c r="E23" s="36"/>
      <c r="F23" s="36">
        <f>Tabela22[[#This Row],[Ilość]]*Tabela22[[#This Row],[C.j. netto]]</f>
        <v>0</v>
      </c>
      <c r="G23" s="37"/>
      <c r="H23" s="38"/>
      <c r="I23" s="37"/>
      <c r="J23" s="37"/>
      <c r="K23" s="37"/>
      <c r="L23" s="37"/>
    </row>
    <row r="24" spans="1:12">
      <c r="A24" s="202" t="s">
        <v>50</v>
      </c>
      <c r="B24" s="57" t="s">
        <v>594</v>
      </c>
      <c r="C24" s="35" t="s">
        <v>29</v>
      </c>
      <c r="D24" s="64">
        <v>40</v>
      </c>
      <c r="E24" s="36"/>
      <c r="F24" s="36">
        <f>Tabela22[[#This Row],[Ilość]]*Tabela22[[#This Row],[C.j. netto]]</f>
        <v>0</v>
      </c>
      <c r="G24" s="37"/>
      <c r="H24" s="38"/>
      <c r="I24" s="37"/>
      <c r="J24" s="37"/>
      <c r="K24" s="37"/>
      <c r="L24" s="37"/>
    </row>
    <row r="25" spans="1:12">
      <c r="A25" s="202" t="s">
        <v>52</v>
      </c>
      <c r="B25" s="57" t="s">
        <v>595</v>
      </c>
      <c r="C25" s="35" t="s">
        <v>29</v>
      </c>
      <c r="D25" s="64">
        <v>6</v>
      </c>
      <c r="E25" s="36"/>
      <c r="F25" s="36">
        <f>Tabela22[[#This Row],[Ilość]]*Tabela22[[#This Row],[C.j. netto]]</f>
        <v>0</v>
      </c>
      <c r="G25" s="37"/>
      <c r="H25" s="38"/>
      <c r="I25" s="37"/>
      <c r="J25" s="37"/>
      <c r="K25" s="37"/>
      <c r="L25" s="37"/>
    </row>
    <row r="26" spans="1:12">
      <c r="A26" s="202" t="s">
        <v>1296</v>
      </c>
      <c r="B26" s="57" t="s">
        <v>596</v>
      </c>
      <c r="C26" s="35" t="s">
        <v>29</v>
      </c>
      <c r="D26" s="64">
        <v>40</v>
      </c>
      <c r="E26" s="36"/>
      <c r="F26" s="36">
        <f>Tabela22[[#This Row],[Ilość]]*Tabela22[[#This Row],[C.j. netto]]</f>
        <v>0</v>
      </c>
      <c r="G26" s="37"/>
      <c r="H26" s="38"/>
      <c r="I26" s="37"/>
      <c r="J26" s="37"/>
      <c r="K26" s="37"/>
      <c r="L26" s="37"/>
    </row>
    <row r="27" spans="1:12">
      <c r="A27" s="202" t="s">
        <v>56</v>
      </c>
      <c r="B27" s="57" t="s">
        <v>597</v>
      </c>
      <c r="C27" s="35" t="s">
        <v>29</v>
      </c>
      <c r="D27" s="64">
        <v>20</v>
      </c>
      <c r="E27" s="36"/>
      <c r="F27" s="36">
        <f>Tabela22[[#This Row],[Ilość]]*Tabela22[[#This Row],[C.j. netto]]</f>
        <v>0</v>
      </c>
      <c r="G27" s="37"/>
      <c r="H27" s="38"/>
      <c r="I27" s="37"/>
      <c r="J27" s="37"/>
      <c r="K27" s="37"/>
      <c r="L27" s="37"/>
    </row>
    <row r="28" spans="1:12" ht="25.5">
      <c r="A28" s="202" t="s">
        <v>57</v>
      </c>
      <c r="B28" s="57" t="s">
        <v>598</v>
      </c>
      <c r="C28" s="35" t="s">
        <v>29</v>
      </c>
      <c r="D28" s="64">
        <v>6</v>
      </c>
      <c r="E28" s="36"/>
      <c r="F28" s="36">
        <f>Tabela22[[#This Row],[Ilość]]*Tabela22[[#This Row],[C.j. netto]]</f>
        <v>0</v>
      </c>
      <c r="G28" s="37"/>
      <c r="H28" s="38"/>
      <c r="I28" s="37"/>
      <c r="J28" s="37"/>
      <c r="K28" s="37"/>
      <c r="L28" s="37"/>
    </row>
    <row r="29" spans="1:12" ht="25.5">
      <c r="A29" s="202" t="s">
        <v>59</v>
      </c>
      <c r="B29" s="57" t="s">
        <v>599</v>
      </c>
      <c r="C29" s="35" t="s">
        <v>29</v>
      </c>
      <c r="D29" s="64">
        <v>6</v>
      </c>
      <c r="E29" s="36"/>
      <c r="F29" s="36">
        <f>Tabela22[[#This Row],[Ilość]]*Tabela22[[#This Row],[C.j. netto]]</f>
        <v>0</v>
      </c>
      <c r="G29" s="37"/>
      <c r="H29" s="38"/>
      <c r="I29" s="37"/>
      <c r="J29" s="37"/>
      <c r="K29" s="37"/>
      <c r="L29" s="37"/>
    </row>
    <row r="30" spans="1:12">
      <c r="A30" s="202" t="s">
        <v>61</v>
      </c>
      <c r="B30" s="57" t="s">
        <v>600</v>
      </c>
      <c r="C30" s="35" t="s">
        <v>29</v>
      </c>
      <c r="D30" s="64">
        <v>140</v>
      </c>
      <c r="E30" s="36"/>
      <c r="F30" s="36">
        <f>Tabela22[[#This Row],[Ilość]]*Tabela22[[#This Row],[C.j. netto]]</f>
        <v>0</v>
      </c>
      <c r="G30" s="37"/>
      <c r="H30" s="38"/>
      <c r="I30" s="37"/>
      <c r="J30" s="37"/>
      <c r="K30" s="37"/>
      <c r="L30" s="37"/>
    </row>
    <row r="31" spans="1:12">
      <c r="A31" s="202" t="s">
        <v>63</v>
      </c>
      <c r="B31" s="57" t="s">
        <v>601</v>
      </c>
      <c r="C31" s="35" t="s">
        <v>29</v>
      </c>
      <c r="D31" s="64">
        <v>150</v>
      </c>
      <c r="E31" s="36"/>
      <c r="F31" s="36">
        <f>Tabela22[[#This Row],[Ilość]]*Tabela22[[#This Row],[C.j. netto]]</f>
        <v>0</v>
      </c>
      <c r="G31" s="37"/>
      <c r="H31" s="38"/>
      <c r="I31" s="37"/>
      <c r="J31" s="37"/>
      <c r="K31" s="37"/>
      <c r="L31" s="37"/>
    </row>
    <row r="32" spans="1:12">
      <c r="A32" s="202" t="s">
        <v>65</v>
      </c>
      <c r="B32" s="57" t="s">
        <v>602</v>
      </c>
      <c r="C32" s="35" t="s">
        <v>29</v>
      </c>
      <c r="D32" s="64">
        <v>300</v>
      </c>
      <c r="E32" s="36"/>
      <c r="F32" s="36">
        <f>Tabela22[[#This Row],[Ilość]]*Tabela22[[#This Row],[C.j. netto]]</f>
        <v>0</v>
      </c>
      <c r="G32" s="37"/>
      <c r="H32" s="38"/>
      <c r="I32" s="37"/>
      <c r="J32" s="37"/>
      <c r="K32" s="37"/>
      <c r="L32" s="37"/>
    </row>
    <row r="33" spans="1:12">
      <c r="A33" s="202" t="s">
        <v>67</v>
      </c>
      <c r="B33" s="57" t="s">
        <v>603</v>
      </c>
      <c r="C33" s="35" t="s">
        <v>29</v>
      </c>
      <c r="D33" s="64">
        <v>15</v>
      </c>
      <c r="E33" s="36"/>
      <c r="F33" s="36">
        <f>Tabela22[[#This Row],[Ilość]]*Tabela22[[#This Row],[C.j. netto]]</f>
        <v>0</v>
      </c>
      <c r="G33" s="37"/>
      <c r="H33" s="38"/>
      <c r="I33" s="37"/>
      <c r="J33" s="37"/>
      <c r="K33" s="37"/>
      <c r="L33" s="37"/>
    </row>
    <row r="34" spans="1:12">
      <c r="A34" s="202" t="s">
        <v>69</v>
      </c>
      <c r="B34" s="57" t="s">
        <v>604</v>
      </c>
      <c r="C34" s="35" t="s">
        <v>29</v>
      </c>
      <c r="D34" s="64">
        <v>40</v>
      </c>
      <c r="E34" s="36"/>
      <c r="F34" s="36">
        <f>Tabela22[[#This Row],[Ilość]]*Tabela22[[#This Row],[C.j. netto]]</f>
        <v>0</v>
      </c>
      <c r="G34" s="37"/>
      <c r="H34" s="38"/>
      <c r="I34" s="37"/>
      <c r="J34" s="37"/>
      <c r="K34" s="37"/>
      <c r="L34" s="37"/>
    </row>
    <row r="35" spans="1:12">
      <c r="A35" s="202" t="s">
        <v>71</v>
      </c>
      <c r="B35" s="57" t="s">
        <v>605</v>
      </c>
      <c r="C35" s="35" t="s">
        <v>29</v>
      </c>
      <c r="D35" s="64">
        <v>35</v>
      </c>
      <c r="E35" s="36"/>
      <c r="F35" s="36">
        <f>Tabela22[[#This Row],[Ilość]]*Tabela22[[#This Row],[C.j. netto]]</f>
        <v>0</v>
      </c>
      <c r="G35" s="37"/>
      <c r="H35" s="38"/>
      <c r="I35" s="37"/>
      <c r="J35" s="37"/>
      <c r="K35" s="37"/>
      <c r="L35" s="37"/>
    </row>
    <row r="36" spans="1:12">
      <c r="A36" s="202" t="s">
        <v>75</v>
      </c>
      <c r="B36" s="57" t="s">
        <v>1195</v>
      </c>
      <c r="C36" s="35" t="s">
        <v>29</v>
      </c>
      <c r="D36" s="64">
        <v>30</v>
      </c>
      <c r="E36" s="36"/>
      <c r="F36" s="36">
        <f>Tabela22[[#This Row],[Ilość]]*Tabela22[[#This Row],[C.j. netto]]</f>
        <v>0</v>
      </c>
      <c r="G36" s="37"/>
      <c r="H36" s="38"/>
      <c r="I36" s="37"/>
      <c r="J36" s="37"/>
      <c r="K36" s="37"/>
      <c r="L36" s="37"/>
    </row>
    <row r="37" spans="1:12">
      <c r="A37" s="202" t="s">
        <v>77</v>
      </c>
      <c r="B37" s="57" t="s">
        <v>1194</v>
      </c>
      <c r="C37" s="35" t="s">
        <v>29</v>
      </c>
      <c r="D37" s="35">
        <v>30</v>
      </c>
      <c r="E37" s="100"/>
      <c r="F37" s="36">
        <f>Tabela22[[#This Row],[Ilość]]*Tabela22[[#This Row],[C.j. netto]]</f>
        <v>0</v>
      </c>
      <c r="G37" s="37"/>
      <c r="H37" s="38"/>
      <c r="I37" s="37"/>
      <c r="J37" s="37"/>
      <c r="K37" s="37"/>
      <c r="L37" s="37"/>
    </row>
    <row r="38" spans="1:12">
      <c r="A38" s="202" t="s">
        <v>79</v>
      </c>
      <c r="B38" s="57" t="s">
        <v>1196</v>
      </c>
      <c r="C38" s="35" t="s">
        <v>29</v>
      </c>
      <c r="D38" s="35">
        <v>30</v>
      </c>
      <c r="E38" s="100"/>
      <c r="F38" s="36">
        <f>Tabela22[[#This Row],[Ilość]]*Tabela22[[#This Row],[C.j. netto]]</f>
        <v>0</v>
      </c>
      <c r="G38" s="37"/>
      <c r="H38" s="38"/>
      <c r="I38" s="37"/>
      <c r="J38" s="37"/>
      <c r="K38" s="37"/>
      <c r="L38" s="37"/>
    </row>
    <row r="39" spans="1:12">
      <c r="A39" s="202" t="s">
        <v>81</v>
      </c>
      <c r="B39" s="57" t="s">
        <v>1190</v>
      </c>
      <c r="C39" s="35" t="s">
        <v>29</v>
      </c>
      <c r="D39" s="35">
        <v>10</v>
      </c>
      <c r="E39" s="100"/>
      <c r="F39" s="36">
        <f>Tabela22[[#This Row],[Ilość]]*Tabela22[[#This Row],[C.j. netto]]</f>
        <v>0</v>
      </c>
      <c r="G39" s="37"/>
      <c r="H39" s="38"/>
      <c r="I39" s="37"/>
      <c r="J39" s="37"/>
      <c r="K39" s="37"/>
      <c r="L39" s="37"/>
    </row>
    <row r="40" spans="1:12">
      <c r="A40" s="202" t="s">
        <v>83</v>
      </c>
      <c r="B40" s="57" t="s">
        <v>1197</v>
      </c>
      <c r="C40" s="35" t="s">
        <v>29</v>
      </c>
      <c r="D40" s="64">
        <v>180</v>
      </c>
      <c r="E40" s="36"/>
      <c r="F40" s="36">
        <f>Tabela22[[#This Row],[Ilość]]*Tabela22[[#This Row],[C.j. netto]]</f>
        <v>0</v>
      </c>
      <c r="G40" s="37"/>
      <c r="H40" s="38"/>
      <c r="I40" s="37"/>
      <c r="J40" s="37"/>
      <c r="K40" s="37"/>
      <c r="L40" s="37"/>
    </row>
    <row r="41" spans="1:12">
      <c r="A41" s="202" t="s">
        <v>84</v>
      </c>
      <c r="B41" s="57" t="s">
        <v>1191</v>
      </c>
      <c r="C41" s="35" t="s">
        <v>29</v>
      </c>
      <c r="D41" s="64">
        <v>30</v>
      </c>
      <c r="E41" s="36"/>
      <c r="F41" s="36">
        <f>Tabela22[[#This Row],[Ilość]]*Tabela22[[#This Row],[C.j. netto]]</f>
        <v>0</v>
      </c>
      <c r="G41" s="37"/>
      <c r="H41" s="38"/>
      <c r="I41" s="37"/>
      <c r="J41" s="37"/>
      <c r="K41" s="37"/>
      <c r="L41" s="37"/>
    </row>
    <row r="42" spans="1:12">
      <c r="A42" s="202" t="s">
        <v>86</v>
      </c>
      <c r="B42" s="57" t="s">
        <v>1192</v>
      </c>
      <c r="C42" s="35" t="s">
        <v>29</v>
      </c>
      <c r="D42" s="64">
        <v>30</v>
      </c>
      <c r="E42" s="36"/>
      <c r="F42" s="36">
        <f>Tabela22[[#This Row],[Ilość]]*Tabela22[[#This Row],[C.j. netto]]</f>
        <v>0</v>
      </c>
      <c r="G42" s="37"/>
      <c r="H42" s="38"/>
      <c r="I42" s="37"/>
      <c r="J42" s="37"/>
      <c r="K42" s="37"/>
      <c r="L42" s="37"/>
    </row>
    <row r="43" spans="1:12">
      <c r="A43" s="202" t="s">
        <v>88</v>
      </c>
      <c r="B43" s="57" t="s">
        <v>1193</v>
      </c>
      <c r="C43" s="35" t="s">
        <v>29</v>
      </c>
      <c r="D43" s="64">
        <v>10</v>
      </c>
      <c r="E43" s="36"/>
      <c r="F43" s="36">
        <f>Tabela22[[#This Row],[Ilość]]*Tabela22[[#This Row],[C.j. netto]]</f>
        <v>0</v>
      </c>
      <c r="G43" s="37"/>
      <c r="H43" s="38"/>
      <c r="I43" s="37"/>
      <c r="J43" s="37"/>
      <c r="K43" s="37"/>
      <c r="L43" s="37"/>
    </row>
    <row r="44" spans="1:12" ht="25.5">
      <c r="A44" s="202" t="s">
        <v>89</v>
      </c>
      <c r="B44" s="57" t="s">
        <v>606</v>
      </c>
      <c r="C44" s="35" t="s">
        <v>16</v>
      </c>
      <c r="D44" s="64">
        <v>120</v>
      </c>
      <c r="E44" s="36"/>
      <c r="F44" s="36">
        <f>Tabela22[[#This Row],[Ilość]]*Tabela22[[#This Row],[C.j. netto]]</f>
        <v>0</v>
      </c>
      <c r="G44" s="37"/>
      <c r="H44" s="38"/>
      <c r="I44" s="37"/>
      <c r="J44" s="37"/>
      <c r="K44" s="37"/>
      <c r="L44" s="37"/>
    </row>
    <row r="45" spans="1:12">
      <c r="A45" s="202" t="s">
        <v>90</v>
      </c>
      <c r="B45" s="57" t="s">
        <v>607</v>
      </c>
      <c r="C45" s="35" t="s">
        <v>29</v>
      </c>
      <c r="D45" s="64">
        <v>25</v>
      </c>
      <c r="E45" s="36"/>
      <c r="F45" s="36">
        <f>Tabela22[[#This Row],[Ilość]]*Tabela22[[#This Row],[C.j. netto]]</f>
        <v>0</v>
      </c>
      <c r="G45" s="37"/>
      <c r="H45" s="38"/>
      <c r="I45" s="37"/>
      <c r="J45" s="37"/>
      <c r="K45" s="37"/>
      <c r="L45" s="37"/>
    </row>
    <row r="46" spans="1:12">
      <c r="A46" s="202" t="s">
        <v>92</v>
      </c>
      <c r="B46" s="57" t="s">
        <v>608</v>
      </c>
      <c r="C46" s="35" t="s">
        <v>29</v>
      </c>
      <c r="D46" s="64">
        <v>30</v>
      </c>
      <c r="E46" s="36"/>
      <c r="F46" s="36">
        <f>Tabela22[[#This Row],[Ilość]]*Tabela22[[#This Row],[C.j. netto]]</f>
        <v>0</v>
      </c>
      <c r="G46" s="37"/>
      <c r="H46" s="38"/>
      <c r="I46" s="37"/>
      <c r="J46" s="37"/>
      <c r="K46" s="37"/>
      <c r="L46" s="37"/>
    </row>
    <row r="47" spans="1:12">
      <c r="A47" s="202" t="s">
        <v>94</v>
      </c>
      <c r="B47" s="57" t="s">
        <v>609</v>
      </c>
      <c r="C47" s="35" t="s">
        <v>29</v>
      </c>
      <c r="D47" s="64">
        <v>25</v>
      </c>
      <c r="E47" s="36"/>
      <c r="F47" s="36">
        <f>Tabela22[[#This Row],[Ilość]]*Tabela22[[#This Row],[C.j. netto]]</f>
        <v>0</v>
      </c>
      <c r="G47" s="37"/>
      <c r="H47" s="38"/>
      <c r="I47" s="37"/>
      <c r="J47" s="37"/>
      <c r="K47" s="37"/>
      <c r="L47" s="37"/>
    </row>
    <row r="48" spans="1:12">
      <c r="A48" s="202" t="s">
        <v>96</v>
      </c>
      <c r="B48" s="57" t="s">
        <v>1148</v>
      </c>
      <c r="C48" s="35" t="s">
        <v>29</v>
      </c>
      <c r="D48" s="113">
        <v>30</v>
      </c>
      <c r="E48" s="100"/>
      <c r="F48" s="36">
        <f>Tabela22[[#This Row],[Ilość]]*Tabela22[[#This Row],[C.j. netto]]</f>
        <v>0</v>
      </c>
      <c r="G48" s="37"/>
      <c r="H48" s="38"/>
      <c r="I48" s="37"/>
      <c r="J48" s="37"/>
      <c r="K48" s="37"/>
      <c r="L48" s="37"/>
    </row>
    <row r="49" spans="1:12">
      <c r="A49" s="202" t="s">
        <v>98</v>
      </c>
      <c r="B49" s="57" t="s">
        <v>1149</v>
      </c>
      <c r="C49" s="35" t="s">
        <v>29</v>
      </c>
      <c r="D49" s="113">
        <v>40</v>
      </c>
      <c r="E49" s="100"/>
      <c r="F49" s="36">
        <f>Tabela22[[#This Row],[Ilość]]*Tabela22[[#This Row],[C.j. netto]]</f>
        <v>0</v>
      </c>
      <c r="G49" s="37"/>
      <c r="H49" s="38"/>
      <c r="I49" s="37"/>
      <c r="J49" s="37"/>
      <c r="K49" s="37"/>
      <c r="L49" s="37"/>
    </row>
    <row r="50" spans="1:12">
      <c r="A50" s="202" t="s">
        <v>100</v>
      </c>
      <c r="B50" s="57" t="s">
        <v>1151</v>
      </c>
      <c r="C50" s="35" t="s">
        <v>29</v>
      </c>
      <c r="D50" s="113">
        <v>60</v>
      </c>
      <c r="E50" s="100"/>
      <c r="F50" s="36">
        <f>Tabela22[[#This Row],[Ilość]]*Tabela22[[#This Row],[C.j. netto]]</f>
        <v>0</v>
      </c>
      <c r="G50" s="37"/>
      <c r="H50" s="38"/>
      <c r="I50" s="37"/>
      <c r="J50" s="37"/>
      <c r="K50" s="37"/>
      <c r="L50" s="37"/>
    </row>
    <row r="51" spans="1:12" ht="25.5">
      <c r="A51" s="202" t="s">
        <v>102</v>
      </c>
      <c r="B51" s="57" t="s">
        <v>1152</v>
      </c>
      <c r="C51" s="35" t="s">
        <v>29</v>
      </c>
      <c r="D51" s="113">
        <v>15</v>
      </c>
      <c r="E51" s="100"/>
      <c r="F51" s="36">
        <f>Tabela22[[#This Row],[Ilość]]*Tabela22[[#This Row],[C.j. netto]]</f>
        <v>0</v>
      </c>
      <c r="G51" s="37"/>
      <c r="H51" s="38"/>
      <c r="I51" s="37"/>
      <c r="J51" s="37"/>
      <c r="K51" s="37"/>
      <c r="L51" s="37"/>
    </row>
    <row r="52" spans="1:12">
      <c r="A52" s="202" t="s">
        <v>104</v>
      </c>
      <c r="B52" s="57" t="s">
        <v>1153</v>
      </c>
      <c r="C52" s="35" t="s">
        <v>29</v>
      </c>
      <c r="D52" s="113">
        <v>10</v>
      </c>
      <c r="E52" s="100"/>
      <c r="F52" s="36">
        <f>Tabela22[[#This Row],[Ilość]]*Tabela22[[#This Row],[C.j. netto]]</f>
        <v>0</v>
      </c>
      <c r="G52" s="37"/>
      <c r="H52" s="38"/>
      <c r="I52" s="37"/>
      <c r="J52" s="37"/>
      <c r="K52" s="37"/>
      <c r="L52" s="37"/>
    </row>
    <row r="53" spans="1:12">
      <c r="A53" s="202" t="s">
        <v>105</v>
      </c>
      <c r="B53" s="57" t="s">
        <v>1163</v>
      </c>
      <c r="C53" s="111" t="s">
        <v>29</v>
      </c>
      <c r="D53" s="40">
        <v>100</v>
      </c>
      <c r="E53" s="100"/>
      <c r="F53" s="36">
        <f>Tabela22[[#This Row],[Ilość]]*Tabela22[[#This Row],[C.j. netto]]</f>
        <v>0</v>
      </c>
      <c r="G53" s="37"/>
      <c r="H53" s="38"/>
      <c r="I53" s="37"/>
      <c r="J53" s="37"/>
      <c r="K53" s="37"/>
      <c r="L53" s="37"/>
    </row>
    <row r="54" spans="1:12">
      <c r="A54" s="202" t="s">
        <v>331</v>
      </c>
      <c r="B54" s="57" t="s">
        <v>1164</v>
      </c>
      <c r="C54" s="111" t="s">
        <v>29</v>
      </c>
      <c r="D54" s="40">
        <v>100</v>
      </c>
      <c r="E54" s="100"/>
      <c r="F54" s="36">
        <f>Tabela22[[#This Row],[Ilość]]*Tabela22[[#This Row],[C.j. netto]]</f>
        <v>0</v>
      </c>
      <c r="G54" s="37"/>
      <c r="H54" s="38"/>
      <c r="I54" s="37"/>
      <c r="J54" s="37"/>
      <c r="K54" s="37"/>
      <c r="L54" s="37"/>
    </row>
    <row r="55" spans="1:12">
      <c r="A55" s="202" t="s">
        <v>333</v>
      </c>
      <c r="B55" s="57" t="s">
        <v>1200</v>
      </c>
      <c r="C55" s="111" t="s">
        <v>16</v>
      </c>
      <c r="D55" s="40">
        <v>60</v>
      </c>
      <c r="E55" s="100"/>
      <c r="F55" s="36">
        <f>Tabela22[[#This Row],[Ilość]]*Tabela22[[#This Row],[C.j. netto]]</f>
        <v>0</v>
      </c>
      <c r="G55" s="37"/>
      <c r="H55" s="38"/>
      <c r="I55" s="37"/>
      <c r="J55" s="37"/>
      <c r="K55" s="37"/>
      <c r="L55" s="37"/>
    </row>
    <row r="56" spans="1:12">
      <c r="A56" s="202" t="s">
        <v>335</v>
      </c>
      <c r="B56" s="57" t="s">
        <v>1205</v>
      </c>
      <c r="C56" s="111" t="s">
        <v>16</v>
      </c>
      <c r="D56" s="40">
        <v>50</v>
      </c>
      <c r="E56" s="100"/>
      <c r="F56" s="36">
        <f>Tabela22[[#This Row],[Ilość]]*Tabela22[[#This Row],[C.j. netto]]</f>
        <v>0</v>
      </c>
      <c r="G56" s="37"/>
      <c r="H56" s="38"/>
      <c r="I56" s="37"/>
      <c r="J56" s="37"/>
      <c r="K56" s="37"/>
      <c r="L56" s="37"/>
    </row>
    <row r="57" spans="1:12">
      <c r="A57" s="202" t="s">
        <v>337</v>
      </c>
      <c r="B57" s="205" t="s">
        <v>1293</v>
      </c>
      <c r="C57" s="111" t="s">
        <v>29</v>
      </c>
      <c r="D57" s="40">
        <v>10</v>
      </c>
      <c r="E57" s="100"/>
      <c r="F57" s="36">
        <f>Tabela22[[#This Row],[Ilość]]*Tabela22[[#This Row],[C.j. netto]]</f>
        <v>0</v>
      </c>
      <c r="G57" s="37"/>
      <c r="H57" s="38"/>
      <c r="I57" s="37"/>
      <c r="J57" s="37"/>
      <c r="K57" s="37"/>
      <c r="L57" s="37"/>
    </row>
    <row r="58" spans="1:12">
      <c r="A58" s="202" t="s">
        <v>339</v>
      </c>
      <c r="B58" s="57" t="s">
        <v>679</v>
      </c>
      <c r="C58" s="111" t="s">
        <v>29</v>
      </c>
      <c r="D58" s="40">
        <v>15</v>
      </c>
      <c r="E58" s="100"/>
      <c r="F58" s="36">
        <f>Tabela22[[#This Row],[Ilość]]*Tabela22[[#This Row],[C.j. netto]]</f>
        <v>0</v>
      </c>
      <c r="G58" s="37"/>
      <c r="H58" s="38"/>
      <c r="I58" s="37"/>
      <c r="J58" s="37"/>
      <c r="K58" s="37"/>
      <c r="L58" s="37"/>
    </row>
    <row r="59" spans="1:12">
      <c r="A59" s="202" t="s">
        <v>341</v>
      </c>
      <c r="B59" s="57" t="s">
        <v>680</v>
      </c>
      <c r="C59" s="111" t="s">
        <v>29</v>
      </c>
      <c r="D59" s="40">
        <v>30</v>
      </c>
      <c r="E59" s="100"/>
      <c r="F59" s="36">
        <f>Tabela22[[#This Row],[Ilość]]*Tabela22[[#This Row],[C.j. netto]]</f>
        <v>0</v>
      </c>
      <c r="G59" s="37"/>
      <c r="H59" s="38"/>
      <c r="I59" s="37"/>
      <c r="J59" s="37"/>
      <c r="K59" s="37"/>
      <c r="L59" s="37"/>
    </row>
    <row r="60" spans="1:12" ht="25.5">
      <c r="A60" s="202" t="s">
        <v>343</v>
      </c>
      <c r="B60" s="57" t="s">
        <v>681</v>
      </c>
      <c r="C60" s="111" t="s">
        <v>29</v>
      </c>
      <c r="D60" s="40">
        <v>220</v>
      </c>
      <c r="E60" s="100"/>
      <c r="F60" s="36">
        <f>Tabela22[[#This Row],[Ilość]]*Tabela22[[#This Row],[C.j. netto]]</f>
        <v>0</v>
      </c>
      <c r="G60" s="37"/>
      <c r="H60" s="38"/>
      <c r="I60" s="37"/>
      <c r="J60" s="37"/>
      <c r="K60" s="37"/>
      <c r="L60" s="37"/>
    </row>
    <row r="61" spans="1:12" ht="25.5">
      <c r="A61" s="202" t="s">
        <v>345</v>
      </c>
      <c r="B61" s="57" t="s">
        <v>686</v>
      </c>
      <c r="C61" s="111" t="s">
        <v>29</v>
      </c>
      <c r="D61" s="40">
        <v>300</v>
      </c>
      <c r="E61" s="100"/>
      <c r="F61" s="36">
        <f>Tabela22[[#This Row],[Ilość]]*Tabela22[[#This Row],[C.j. netto]]</f>
        <v>0</v>
      </c>
      <c r="G61" s="37"/>
      <c r="H61" s="38"/>
      <c r="I61" s="37"/>
      <c r="J61" s="37"/>
      <c r="K61" s="37"/>
      <c r="L61" s="37"/>
    </row>
    <row r="62" spans="1:12">
      <c r="A62" s="202" t="s">
        <v>346</v>
      </c>
      <c r="B62" s="57" t="s">
        <v>682</v>
      </c>
      <c r="C62" s="111" t="s">
        <v>29</v>
      </c>
      <c r="D62" s="40">
        <v>10</v>
      </c>
      <c r="E62" s="100"/>
      <c r="F62" s="36">
        <f>Tabela22[[#This Row],[Ilość]]*Tabela22[[#This Row],[C.j. netto]]</f>
        <v>0</v>
      </c>
      <c r="G62" s="37"/>
      <c r="H62" s="38"/>
      <c r="I62" s="37"/>
      <c r="J62" s="37"/>
      <c r="K62" s="37"/>
      <c r="L62" s="37"/>
    </row>
    <row r="63" spans="1:12" ht="25.5">
      <c r="A63" s="202" t="s">
        <v>348</v>
      </c>
      <c r="B63" s="57" t="s">
        <v>683</v>
      </c>
      <c r="C63" s="111" t="s">
        <v>29</v>
      </c>
      <c r="D63" s="40">
        <v>140</v>
      </c>
      <c r="E63" s="100"/>
      <c r="F63" s="36">
        <f>Tabela22[[#This Row],[Ilość]]*Tabela22[[#This Row],[C.j. netto]]</f>
        <v>0</v>
      </c>
      <c r="G63" s="37"/>
      <c r="H63" s="38"/>
      <c r="I63" s="37"/>
      <c r="J63" s="37"/>
      <c r="K63" s="37"/>
      <c r="L63" s="37"/>
    </row>
    <row r="64" spans="1:12" ht="25.5">
      <c r="A64" s="202" t="s">
        <v>350</v>
      </c>
      <c r="B64" s="57" t="s">
        <v>684</v>
      </c>
      <c r="C64" s="111" t="s">
        <v>29</v>
      </c>
      <c r="D64" s="40">
        <v>850</v>
      </c>
      <c r="E64" s="100"/>
      <c r="F64" s="36">
        <f>Tabela22[[#This Row],[Ilość]]*Tabela22[[#This Row],[C.j. netto]]</f>
        <v>0</v>
      </c>
      <c r="G64" s="37"/>
      <c r="H64" s="38"/>
      <c r="I64" s="37"/>
      <c r="J64" s="37"/>
      <c r="K64" s="37"/>
      <c r="L64" s="37"/>
    </row>
    <row r="65" spans="1:12">
      <c r="A65" s="202" t="s">
        <v>352</v>
      </c>
      <c r="B65" s="57" t="s">
        <v>685</v>
      </c>
      <c r="C65" s="111" t="s">
        <v>29</v>
      </c>
      <c r="D65" s="40">
        <v>20</v>
      </c>
      <c r="E65" s="100"/>
      <c r="F65" s="36">
        <f>Tabela22[[#This Row],[Ilość]]*Tabela22[[#This Row],[C.j. netto]]</f>
        <v>0</v>
      </c>
      <c r="G65" s="37"/>
      <c r="H65" s="38"/>
      <c r="I65" s="37"/>
      <c r="J65" s="37"/>
      <c r="K65" s="37"/>
      <c r="L65" s="37"/>
    </row>
    <row r="66" spans="1:12">
      <c r="A66" s="202" t="s">
        <v>354</v>
      </c>
      <c r="B66" s="57" t="s">
        <v>1245</v>
      </c>
      <c r="C66" s="111" t="s">
        <v>29</v>
      </c>
      <c r="D66" s="40">
        <v>70</v>
      </c>
      <c r="E66" s="100"/>
      <c r="F66" s="36">
        <f>Tabela22[[#This Row],[Ilość]]*Tabela22[[#This Row],[C.j. netto]]</f>
        <v>0</v>
      </c>
      <c r="G66" s="37"/>
      <c r="H66" s="38"/>
      <c r="I66" s="37"/>
      <c r="J66" s="37"/>
      <c r="K66" s="37"/>
      <c r="L66" s="37"/>
    </row>
    <row r="67" spans="1:12">
      <c r="A67" s="9" t="s">
        <v>118</v>
      </c>
      <c r="B67" s="7"/>
      <c r="C67" s="25"/>
      <c r="D67" s="25"/>
      <c r="E67" s="12"/>
      <c r="F67" s="61">
        <f>SUBTOTAL(109,Tabela22[Wartość netto])</f>
        <v>0</v>
      </c>
      <c r="G67" s="12"/>
      <c r="H67" s="25"/>
      <c r="I67" s="12"/>
      <c r="J67" s="12"/>
      <c r="K67" s="12"/>
      <c r="L67" s="12"/>
    </row>
    <row r="68" spans="1:12">
      <c r="A68" s="27"/>
      <c r="B68" s="60"/>
      <c r="E68"/>
      <c r="F68" s="28"/>
      <c r="H68" s="24"/>
    </row>
    <row r="69" spans="1:12" ht="30">
      <c r="A69" s="10" t="s">
        <v>115</v>
      </c>
      <c r="B69" s="5"/>
    </row>
    <row r="70" spans="1:12" ht="15">
      <c r="A70" s="11" t="s">
        <v>116</v>
      </c>
      <c r="B70" s="5"/>
      <c r="L70" s="17"/>
    </row>
    <row r="71" spans="1:12" ht="30" customHeight="1">
      <c r="A71" s="11" t="s">
        <v>117</v>
      </c>
      <c r="B71" s="5"/>
      <c r="L71" s="32" t="s">
        <v>119</v>
      </c>
    </row>
    <row r="72" spans="1:12" ht="30" customHeight="1"/>
    <row r="73" spans="1:12" ht="30" customHeight="1"/>
    <row r="74" spans="1:12" ht="30" customHeight="1">
      <c r="B74"/>
      <c r="C74"/>
      <c r="D74"/>
      <c r="E74"/>
    </row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FBD8A-3B64-4B96-9D79-E25A5B0C3C88}">
  <sheetPr>
    <pageSetUpPr fitToPage="1"/>
  </sheetPr>
  <dimension ref="A1:M85"/>
  <sheetViews>
    <sheetView topLeftCell="A49" workbookViewId="0">
      <selection activeCell="G82" sqref="G82"/>
    </sheetView>
    <sheetView workbookViewId="1"/>
    <sheetView topLeftCell="A69" workbookViewId="2">
      <selection activeCell="E87" sqref="E87"/>
    </sheetView>
  </sheetViews>
  <sheetFormatPr defaultRowHeight="14.25"/>
  <cols>
    <col min="1" max="1" width="14.125" customWidth="1"/>
    <col min="2" max="2" width="52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611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33" t="s">
        <v>4</v>
      </c>
      <c r="B9" s="34" t="s">
        <v>612</v>
      </c>
      <c r="C9" s="35" t="s">
        <v>29</v>
      </c>
      <c r="D9" s="64">
        <v>12</v>
      </c>
      <c r="E9" s="36"/>
      <c r="F9" s="36">
        <f>Tabela23[[#This Row],[Ilość]]*Tabela23[[#This Row],[C.j. netto]]</f>
        <v>0</v>
      </c>
      <c r="G9" s="37"/>
      <c r="H9" s="38"/>
      <c r="I9" s="37"/>
      <c r="J9" s="37"/>
      <c r="K9" s="37"/>
      <c r="L9" s="39"/>
    </row>
    <row r="10" spans="1:13">
      <c r="A10" s="33" t="s">
        <v>6</v>
      </c>
      <c r="B10" s="34" t="s">
        <v>1198</v>
      </c>
      <c r="C10" s="111" t="s">
        <v>16</v>
      </c>
      <c r="D10" s="35">
        <v>50</v>
      </c>
      <c r="E10" s="100"/>
      <c r="F10" s="36">
        <f>Tabela23[[#This Row],[Ilość]]*Tabela23[[#This Row],[C.j. netto]]</f>
        <v>0</v>
      </c>
      <c r="G10" s="37"/>
      <c r="H10" s="38"/>
      <c r="I10" s="66"/>
      <c r="J10" s="37"/>
      <c r="K10" s="37"/>
      <c r="L10" s="39"/>
    </row>
    <row r="11" spans="1:13">
      <c r="A11" s="33" t="s">
        <v>6</v>
      </c>
      <c r="B11" s="34" t="s">
        <v>1250</v>
      </c>
      <c r="C11" s="35" t="s">
        <v>29</v>
      </c>
      <c r="D11" s="64">
        <v>8</v>
      </c>
      <c r="E11" s="36"/>
      <c r="F11" s="36">
        <f>Tabela23[[#This Row],[Ilość]]*Tabela23[[#This Row],[C.j. netto]]</f>
        <v>0</v>
      </c>
      <c r="G11" s="37"/>
      <c r="H11" s="38"/>
      <c r="I11" s="37"/>
      <c r="J11" s="37"/>
      <c r="K11" s="37"/>
      <c r="L11" s="39"/>
    </row>
    <row r="12" spans="1:13">
      <c r="A12" s="33" t="s">
        <v>26</v>
      </c>
      <c r="B12" s="34" t="s">
        <v>667</v>
      </c>
      <c r="C12" s="35" t="s">
        <v>29</v>
      </c>
      <c r="D12" s="64">
        <v>5</v>
      </c>
      <c r="E12" s="36"/>
      <c r="F12" s="36">
        <f>Tabela23[[#This Row],[Ilość]]*Tabela23[[#This Row],[C.j. netto]]</f>
        <v>0</v>
      </c>
      <c r="G12" s="37"/>
      <c r="H12" s="38"/>
      <c r="I12" s="37"/>
      <c r="J12" s="37"/>
      <c r="K12" s="37"/>
      <c r="L12" s="39"/>
    </row>
    <row r="13" spans="1:13">
      <c r="A13" s="33" t="s">
        <v>27</v>
      </c>
      <c r="B13" s="34" t="s">
        <v>613</v>
      </c>
      <c r="C13" s="35" t="s">
        <v>29</v>
      </c>
      <c r="D13" s="64">
        <v>50</v>
      </c>
      <c r="E13" s="36"/>
      <c r="F13" s="36">
        <f>Tabela23[[#This Row],[Ilość]]*Tabela23[[#This Row],[C.j. netto]]</f>
        <v>0</v>
      </c>
      <c r="G13" s="37"/>
      <c r="H13" s="38"/>
      <c r="I13" s="37"/>
      <c r="J13" s="37"/>
      <c r="K13" s="37"/>
      <c r="L13" s="39"/>
    </row>
    <row r="14" spans="1:13">
      <c r="A14" s="33" t="s">
        <v>32</v>
      </c>
      <c r="B14" s="34" t="s">
        <v>1312</v>
      </c>
      <c r="C14" s="35" t="s">
        <v>29</v>
      </c>
      <c r="D14" s="64">
        <v>15</v>
      </c>
      <c r="E14" s="36"/>
      <c r="F14" s="36">
        <f>Tabela23[[#This Row],[Ilość]]*Tabela23[[#This Row],[C.j. netto]]</f>
        <v>0</v>
      </c>
      <c r="G14" s="37"/>
      <c r="H14" s="38"/>
      <c r="I14" s="37"/>
      <c r="J14" s="37"/>
      <c r="K14" s="37"/>
      <c r="L14" s="39"/>
    </row>
    <row r="15" spans="1:13">
      <c r="A15" s="33" t="s">
        <v>34</v>
      </c>
      <c r="B15" s="34" t="s">
        <v>614</v>
      </c>
      <c r="C15" s="35" t="s">
        <v>29</v>
      </c>
      <c r="D15" s="64">
        <v>10</v>
      </c>
      <c r="E15" s="36"/>
      <c r="F15" s="36">
        <f>Tabela23[[#This Row],[Ilość]]*Tabela23[[#This Row],[C.j. netto]]</f>
        <v>0</v>
      </c>
      <c r="G15" s="37"/>
      <c r="H15" s="38"/>
      <c r="I15" s="37"/>
      <c r="J15" s="37"/>
      <c r="K15" s="37"/>
      <c r="L15" s="39"/>
    </row>
    <row r="16" spans="1:13">
      <c r="A16" s="33" t="s">
        <v>36</v>
      </c>
      <c r="B16" s="34" t="s">
        <v>668</v>
      </c>
      <c r="C16" s="35" t="s">
        <v>29</v>
      </c>
      <c r="D16" s="64">
        <v>5</v>
      </c>
      <c r="E16" s="36"/>
      <c r="F16" s="36">
        <f>Tabela23[[#This Row],[Ilość]]*Tabela23[[#This Row],[C.j. netto]]</f>
        <v>0</v>
      </c>
      <c r="G16" s="37"/>
      <c r="H16" s="38"/>
      <c r="I16" s="37"/>
      <c r="J16" s="37"/>
      <c r="K16" s="37"/>
      <c r="L16" s="39"/>
    </row>
    <row r="17" spans="1:12">
      <c r="A17" s="33" t="s">
        <v>38</v>
      </c>
      <c r="B17" s="34" t="s">
        <v>1251</v>
      </c>
      <c r="C17" s="35" t="s">
        <v>29</v>
      </c>
      <c r="D17" s="64">
        <v>35</v>
      </c>
      <c r="E17" s="36"/>
      <c r="F17" s="36">
        <f>Tabela23[[#This Row],[Ilość]]*Tabela23[[#This Row],[C.j. netto]]</f>
        <v>0</v>
      </c>
      <c r="G17" s="37"/>
      <c r="H17" s="38"/>
      <c r="I17" s="37"/>
      <c r="J17" s="37"/>
      <c r="K17" s="37"/>
      <c r="L17" s="39"/>
    </row>
    <row r="18" spans="1:12">
      <c r="A18" s="33" t="s">
        <v>40</v>
      </c>
      <c r="B18" s="34" t="s">
        <v>615</v>
      </c>
      <c r="C18" s="35" t="s">
        <v>29</v>
      </c>
      <c r="D18" s="64">
        <v>8</v>
      </c>
      <c r="E18" s="36"/>
      <c r="F18" s="36">
        <f>Tabela23[[#This Row],[Ilość]]*Tabela23[[#This Row],[C.j. netto]]</f>
        <v>0</v>
      </c>
      <c r="G18" s="37"/>
      <c r="H18" s="38"/>
      <c r="I18" s="37"/>
      <c r="J18" s="37"/>
      <c r="K18" s="37"/>
      <c r="L18" s="39"/>
    </row>
    <row r="19" spans="1:12">
      <c r="A19" s="33" t="s">
        <v>42</v>
      </c>
      <c r="B19" s="34" t="s">
        <v>669</v>
      </c>
      <c r="C19" s="35" t="s">
        <v>29</v>
      </c>
      <c r="D19" s="64">
        <v>5</v>
      </c>
      <c r="E19" s="36"/>
      <c r="F19" s="36">
        <f>Tabela23[[#This Row],[Ilość]]*Tabela23[[#This Row],[C.j. netto]]</f>
        <v>0</v>
      </c>
      <c r="G19" s="37"/>
      <c r="H19" s="38"/>
      <c r="I19" s="66"/>
      <c r="J19" s="37"/>
      <c r="K19" s="37"/>
      <c r="L19" s="39"/>
    </row>
    <row r="20" spans="1:12">
      <c r="A20" s="33" t="s">
        <v>45</v>
      </c>
      <c r="B20" s="34" t="s">
        <v>616</v>
      </c>
      <c r="C20" s="35" t="s">
        <v>29</v>
      </c>
      <c r="D20" s="64">
        <v>10</v>
      </c>
      <c r="E20" s="36"/>
      <c r="F20" s="36">
        <f>Tabela23[[#This Row],[Ilość]]*Tabela23[[#This Row],[C.j. netto]]</f>
        <v>0</v>
      </c>
      <c r="G20" s="37"/>
      <c r="H20" s="38"/>
      <c r="I20" s="37"/>
      <c r="J20" s="37"/>
      <c r="K20" s="37"/>
      <c r="L20" s="39"/>
    </row>
    <row r="21" spans="1:12">
      <c r="A21" s="33" t="s">
        <v>47</v>
      </c>
      <c r="B21" s="34" t="s">
        <v>617</v>
      </c>
      <c r="C21" s="35" t="s">
        <v>29</v>
      </c>
      <c r="D21" s="64">
        <v>200</v>
      </c>
      <c r="E21" s="36"/>
      <c r="F21" s="36">
        <f>Tabela23[[#This Row],[Ilość]]*Tabela23[[#This Row],[C.j. netto]]</f>
        <v>0</v>
      </c>
      <c r="G21" s="37"/>
      <c r="H21" s="38"/>
      <c r="I21" s="66"/>
      <c r="J21" s="37"/>
      <c r="K21" s="37"/>
      <c r="L21" s="39"/>
    </row>
    <row r="22" spans="1:12">
      <c r="A22" s="33" t="s">
        <v>48</v>
      </c>
      <c r="B22" s="34" t="s">
        <v>618</v>
      </c>
      <c r="C22" s="35" t="s">
        <v>306</v>
      </c>
      <c r="D22" s="64">
        <v>5</v>
      </c>
      <c r="E22" s="36"/>
      <c r="F22" s="36">
        <f>Tabela23[[#This Row],[Ilość]]*Tabela23[[#This Row],[C.j. netto]]</f>
        <v>0</v>
      </c>
      <c r="G22" s="37"/>
      <c r="H22" s="38"/>
      <c r="I22" s="37"/>
      <c r="J22" s="37"/>
      <c r="K22" s="37"/>
      <c r="L22" s="39"/>
    </row>
    <row r="23" spans="1:12">
      <c r="A23" s="33" t="s">
        <v>49</v>
      </c>
      <c r="B23" s="34" t="s">
        <v>619</v>
      </c>
      <c r="C23" s="35" t="s">
        <v>29</v>
      </c>
      <c r="D23" s="64">
        <v>150</v>
      </c>
      <c r="E23" s="36"/>
      <c r="F23" s="36">
        <f>Tabela23[[#This Row],[Ilość]]*Tabela23[[#This Row],[C.j. netto]]</f>
        <v>0</v>
      </c>
      <c r="G23" s="37"/>
      <c r="H23" s="38"/>
      <c r="I23" s="66"/>
      <c r="J23" s="37"/>
      <c r="K23" s="37"/>
      <c r="L23" s="39"/>
    </row>
    <row r="24" spans="1:12">
      <c r="A24" s="33" t="s">
        <v>50</v>
      </c>
      <c r="B24" s="34" t="s">
        <v>620</v>
      </c>
      <c r="C24" s="35" t="s">
        <v>29</v>
      </c>
      <c r="D24" s="64">
        <v>40</v>
      </c>
      <c r="E24" s="36"/>
      <c r="F24" s="36">
        <f>Tabela23[[#This Row],[Ilość]]*Tabela23[[#This Row],[C.j. netto]]</f>
        <v>0</v>
      </c>
      <c r="G24" s="37"/>
      <c r="H24" s="38"/>
      <c r="I24" s="37"/>
      <c r="J24" s="37"/>
      <c r="K24" s="37"/>
      <c r="L24" s="39"/>
    </row>
    <row r="25" spans="1:12">
      <c r="A25" s="33" t="s">
        <v>52</v>
      </c>
      <c r="B25" s="34" t="s">
        <v>621</v>
      </c>
      <c r="C25" s="35" t="s">
        <v>29</v>
      </c>
      <c r="D25" s="64">
        <v>15</v>
      </c>
      <c r="E25" s="36"/>
      <c r="F25" s="36">
        <f>Tabela23[[#This Row],[Ilość]]*Tabela23[[#This Row],[C.j. netto]]</f>
        <v>0</v>
      </c>
      <c r="G25" s="37"/>
      <c r="H25" s="38"/>
      <c r="I25" s="37"/>
      <c r="J25" s="37"/>
      <c r="K25" s="37"/>
      <c r="L25" s="39"/>
    </row>
    <row r="26" spans="1:12" ht="25.5">
      <c r="A26" s="33" t="s">
        <v>54</v>
      </c>
      <c r="B26" s="34" t="s">
        <v>622</v>
      </c>
      <c r="C26" s="35" t="s">
        <v>29</v>
      </c>
      <c r="D26" s="64">
        <v>10</v>
      </c>
      <c r="E26" s="36"/>
      <c r="F26" s="36">
        <f>Tabela23[[#This Row],[Ilość]]*Tabela23[[#This Row],[C.j. netto]]</f>
        <v>0</v>
      </c>
      <c r="G26" s="37"/>
      <c r="H26" s="38"/>
      <c r="I26" s="37"/>
      <c r="J26" s="37"/>
      <c r="K26" s="37"/>
      <c r="L26" s="39"/>
    </row>
    <row r="27" spans="1:12">
      <c r="A27" s="33" t="s">
        <v>56</v>
      </c>
      <c r="B27" s="34" t="s">
        <v>623</v>
      </c>
      <c r="C27" s="35" t="s">
        <v>29</v>
      </c>
      <c r="D27" s="64">
        <v>8</v>
      </c>
      <c r="E27" s="36"/>
      <c r="F27" s="36">
        <f>Tabela23[[#This Row],[Ilość]]*Tabela23[[#This Row],[C.j. netto]]</f>
        <v>0</v>
      </c>
      <c r="G27" s="37"/>
      <c r="H27" s="38"/>
      <c r="I27" s="37"/>
      <c r="J27" s="37"/>
      <c r="K27" s="37"/>
      <c r="L27" s="39"/>
    </row>
    <row r="28" spans="1:12">
      <c r="A28" s="33" t="s">
        <v>57</v>
      </c>
      <c r="B28" s="34" t="s">
        <v>624</v>
      </c>
      <c r="C28" s="35" t="s">
        <v>29</v>
      </c>
      <c r="D28" s="64">
        <v>30</v>
      </c>
      <c r="E28" s="36"/>
      <c r="F28" s="36">
        <f>Tabela23[[#This Row],[Ilość]]*Tabela23[[#This Row],[C.j. netto]]</f>
        <v>0</v>
      </c>
      <c r="G28" s="37"/>
      <c r="H28" s="38"/>
      <c r="I28" s="37"/>
      <c r="J28" s="37"/>
      <c r="K28" s="37"/>
      <c r="L28" s="39"/>
    </row>
    <row r="29" spans="1:12">
      <c r="A29" s="33" t="s">
        <v>59</v>
      </c>
      <c r="B29" s="34" t="s">
        <v>625</v>
      </c>
      <c r="C29" s="35" t="s">
        <v>29</v>
      </c>
      <c r="D29" s="64">
        <v>3</v>
      </c>
      <c r="E29" s="36"/>
      <c r="F29" s="36">
        <f>Tabela23[[#This Row],[Ilość]]*Tabela23[[#This Row],[C.j. netto]]</f>
        <v>0</v>
      </c>
      <c r="G29" s="37"/>
      <c r="H29" s="38"/>
      <c r="I29" s="37"/>
      <c r="J29" s="37"/>
      <c r="K29" s="37"/>
      <c r="L29" s="39"/>
    </row>
    <row r="30" spans="1:12" ht="38.25">
      <c r="A30" s="33" t="s">
        <v>61</v>
      </c>
      <c r="B30" s="34" t="s">
        <v>626</v>
      </c>
      <c r="C30" s="35" t="s">
        <v>29</v>
      </c>
      <c r="D30" s="64">
        <v>40</v>
      </c>
      <c r="E30" s="36"/>
      <c r="F30" s="36">
        <f>Tabela23[[#This Row],[Ilość]]*Tabela23[[#This Row],[C.j. netto]]</f>
        <v>0</v>
      </c>
      <c r="G30" s="37"/>
      <c r="H30" s="38"/>
      <c r="I30" s="66"/>
      <c r="J30" s="37"/>
      <c r="K30" s="37"/>
      <c r="L30" s="39"/>
    </row>
    <row r="31" spans="1:12">
      <c r="A31" s="33" t="s">
        <v>63</v>
      </c>
      <c r="B31" s="34" t="s">
        <v>670</v>
      </c>
      <c r="C31" s="35" t="s">
        <v>29</v>
      </c>
      <c r="D31" s="64">
        <v>5</v>
      </c>
      <c r="E31" s="36"/>
      <c r="F31" s="36">
        <f>Tabela23[[#This Row],[Ilość]]*Tabela23[[#This Row],[C.j. netto]]</f>
        <v>0</v>
      </c>
      <c r="G31" s="37"/>
      <c r="H31" s="38"/>
      <c r="I31" s="66"/>
      <c r="J31" s="37"/>
      <c r="K31" s="37"/>
      <c r="L31" s="39"/>
    </row>
    <row r="32" spans="1:12" ht="25.5">
      <c r="A32" s="33" t="s">
        <v>65</v>
      </c>
      <c r="B32" s="34" t="s">
        <v>627</v>
      </c>
      <c r="C32" s="35" t="s">
        <v>306</v>
      </c>
      <c r="D32" s="64">
        <v>140</v>
      </c>
      <c r="E32" s="36"/>
      <c r="F32" s="36">
        <f>Tabela23[[#This Row],[Ilość]]*Tabela23[[#This Row],[C.j. netto]]</f>
        <v>0</v>
      </c>
      <c r="G32" s="37"/>
      <c r="H32" s="38"/>
      <c r="I32" s="66"/>
      <c r="J32" s="37"/>
      <c r="K32" s="37"/>
      <c r="L32" s="39"/>
    </row>
    <row r="33" spans="1:12" ht="25.5">
      <c r="A33" s="33" t="s">
        <v>67</v>
      </c>
      <c r="B33" s="34" t="s">
        <v>628</v>
      </c>
      <c r="C33" s="35" t="s">
        <v>29</v>
      </c>
      <c r="D33" s="64">
        <v>8</v>
      </c>
      <c r="E33" s="36"/>
      <c r="F33" s="36">
        <f>Tabela23[[#This Row],[Ilość]]*Tabela23[[#This Row],[C.j. netto]]</f>
        <v>0</v>
      </c>
      <c r="G33" s="37"/>
      <c r="H33" s="38"/>
      <c r="I33" s="37"/>
      <c r="J33" s="37"/>
      <c r="K33" s="37"/>
      <c r="L33" s="39"/>
    </row>
    <row r="34" spans="1:12">
      <c r="A34" s="33" t="s">
        <v>69</v>
      </c>
      <c r="B34" s="34" t="s">
        <v>629</v>
      </c>
      <c r="C34" s="35" t="s">
        <v>29</v>
      </c>
      <c r="D34" s="64">
        <v>6</v>
      </c>
      <c r="E34" s="36"/>
      <c r="F34" s="36">
        <f>Tabela23[[#This Row],[Ilość]]*Tabela23[[#This Row],[C.j. netto]]</f>
        <v>0</v>
      </c>
      <c r="G34" s="37"/>
      <c r="H34" s="38"/>
      <c r="I34" s="37"/>
      <c r="J34" s="37"/>
      <c r="K34" s="37"/>
      <c r="L34" s="39"/>
    </row>
    <row r="35" spans="1:12">
      <c r="A35" s="33" t="s">
        <v>71</v>
      </c>
      <c r="B35" s="34" t="s">
        <v>630</v>
      </c>
      <c r="C35" s="35" t="s">
        <v>29</v>
      </c>
      <c r="D35" s="64">
        <v>45</v>
      </c>
      <c r="E35" s="36"/>
      <c r="F35" s="36">
        <f>Tabela23[[#This Row],[Ilość]]*Tabela23[[#This Row],[C.j. netto]]</f>
        <v>0</v>
      </c>
      <c r="G35" s="37"/>
      <c r="H35" s="38"/>
      <c r="I35" s="37"/>
      <c r="J35" s="37"/>
      <c r="K35" s="37"/>
      <c r="L35" s="39"/>
    </row>
    <row r="36" spans="1:12">
      <c r="A36" s="33" t="s">
        <v>73</v>
      </c>
      <c r="B36" s="34" t="s">
        <v>631</v>
      </c>
      <c r="C36" s="35" t="s">
        <v>29</v>
      </c>
      <c r="D36" s="64">
        <v>360</v>
      </c>
      <c r="E36" s="36"/>
      <c r="F36" s="36">
        <f>Tabela23[[#This Row],[Ilość]]*Tabela23[[#This Row],[C.j. netto]]</f>
        <v>0</v>
      </c>
      <c r="G36" s="37"/>
      <c r="H36" s="38"/>
      <c r="I36" s="66"/>
      <c r="J36" s="37"/>
      <c r="K36" s="37"/>
      <c r="L36" s="39"/>
    </row>
    <row r="37" spans="1:12">
      <c r="A37" s="33" t="s">
        <v>75</v>
      </c>
      <c r="B37" s="34" t="s">
        <v>632</v>
      </c>
      <c r="C37" s="35" t="s">
        <v>29</v>
      </c>
      <c r="D37" s="64">
        <v>440</v>
      </c>
      <c r="E37" s="36"/>
      <c r="F37" s="36">
        <f>Tabela23[[#This Row],[Ilość]]*Tabela23[[#This Row],[C.j. netto]]</f>
        <v>0</v>
      </c>
      <c r="G37" s="37"/>
      <c r="H37" s="38"/>
      <c r="I37" s="66"/>
      <c r="J37" s="37"/>
      <c r="K37" s="37"/>
      <c r="L37" s="39"/>
    </row>
    <row r="38" spans="1:12">
      <c r="A38" s="33" t="s">
        <v>77</v>
      </c>
      <c r="B38" s="34" t="s">
        <v>633</v>
      </c>
      <c r="C38" s="35" t="s">
        <v>29</v>
      </c>
      <c r="D38" s="64">
        <v>10</v>
      </c>
      <c r="E38" s="36"/>
      <c r="F38" s="36">
        <f>Tabela23[[#This Row],[Ilość]]*Tabela23[[#This Row],[C.j. netto]]</f>
        <v>0</v>
      </c>
      <c r="G38" s="37"/>
      <c r="H38" s="38"/>
      <c r="I38" s="37"/>
      <c r="J38" s="37"/>
      <c r="K38" s="37"/>
      <c r="L38" s="39"/>
    </row>
    <row r="39" spans="1:12">
      <c r="A39" s="33" t="s">
        <v>79</v>
      </c>
      <c r="B39" s="34" t="s">
        <v>674</v>
      </c>
      <c r="C39" s="35" t="s">
        <v>29</v>
      </c>
      <c r="D39" s="64">
        <v>20</v>
      </c>
      <c r="E39" s="36"/>
      <c r="F39" s="36">
        <f>Tabela23[[#This Row],[Ilość]]*Tabela23[[#This Row],[C.j. netto]]</f>
        <v>0</v>
      </c>
      <c r="G39" s="37"/>
      <c r="H39" s="38"/>
      <c r="I39" s="37"/>
      <c r="J39" s="37"/>
      <c r="K39" s="37"/>
      <c r="L39" s="39"/>
    </row>
    <row r="40" spans="1:12">
      <c r="A40" s="33" t="s">
        <v>81</v>
      </c>
      <c r="B40" s="34" t="s">
        <v>634</v>
      </c>
      <c r="C40" s="35" t="s">
        <v>29</v>
      </c>
      <c r="D40" s="64">
        <v>22</v>
      </c>
      <c r="E40" s="36"/>
      <c r="F40" s="36">
        <f>Tabela23[[#This Row],[Ilość]]*Tabela23[[#This Row],[C.j. netto]]</f>
        <v>0</v>
      </c>
      <c r="G40" s="37"/>
      <c r="H40" s="38"/>
      <c r="I40" s="37"/>
      <c r="J40" s="37"/>
      <c r="K40" s="37"/>
      <c r="L40" s="39"/>
    </row>
    <row r="41" spans="1:12">
      <c r="A41" s="33" t="s">
        <v>83</v>
      </c>
      <c r="B41" s="34" t="s">
        <v>635</v>
      </c>
      <c r="C41" s="35" t="s">
        <v>29</v>
      </c>
      <c r="D41" s="64">
        <v>10</v>
      </c>
      <c r="E41" s="36"/>
      <c r="F41" s="36">
        <f>Tabela23[[#This Row],[Ilość]]*Tabela23[[#This Row],[C.j. netto]]</f>
        <v>0</v>
      </c>
      <c r="G41" s="37"/>
      <c r="H41" s="38"/>
      <c r="I41" s="66"/>
      <c r="J41" s="37"/>
      <c r="K41" s="37"/>
      <c r="L41" s="39"/>
    </row>
    <row r="42" spans="1:12">
      <c r="A42" s="33" t="s">
        <v>84</v>
      </c>
      <c r="B42" s="34" t="s">
        <v>636</v>
      </c>
      <c r="C42" s="35" t="s">
        <v>29</v>
      </c>
      <c r="D42" s="64">
        <v>130</v>
      </c>
      <c r="E42" s="36"/>
      <c r="F42" s="36">
        <f>Tabela23[[#This Row],[Ilość]]*Tabela23[[#This Row],[C.j. netto]]</f>
        <v>0</v>
      </c>
      <c r="G42" s="37"/>
      <c r="H42" s="38"/>
      <c r="I42" s="37"/>
      <c r="J42" s="37"/>
      <c r="K42" s="37"/>
      <c r="L42" s="39"/>
    </row>
    <row r="43" spans="1:12">
      <c r="A43" s="208" t="s">
        <v>86</v>
      </c>
      <c r="B43" s="41" t="s">
        <v>637</v>
      </c>
      <c r="C43" s="42" t="s">
        <v>29</v>
      </c>
      <c r="D43" s="67">
        <v>55</v>
      </c>
      <c r="E43" s="43"/>
      <c r="F43" s="36">
        <f>Tabela23[[#This Row],[Ilość]]*Tabela23[[#This Row],[C.j. netto]]</f>
        <v>0</v>
      </c>
      <c r="G43" s="44"/>
      <c r="H43" s="45"/>
      <c r="I43" s="44"/>
      <c r="J43" s="44"/>
      <c r="K43" s="44"/>
      <c r="L43" s="46"/>
    </row>
    <row r="44" spans="1:12">
      <c r="A44" s="209" t="s">
        <v>88</v>
      </c>
      <c r="B44" s="34" t="s">
        <v>1252</v>
      </c>
      <c r="C44" s="35" t="s">
        <v>29</v>
      </c>
      <c r="D44" s="64">
        <v>3</v>
      </c>
      <c r="E44" s="36"/>
      <c r="F44" s="36">
        <f>Tabela23[[#This Row],[Ilość]]*Tabela23[[#This Row],[C.j. netto]]</f>
        <v>0</v>
      </c>
      <c r="G44" s="37"/>
      <c r="H44" s="38"/>
      <c r="I44" s="37"/>
      <c r="J44" s="37"/>
      <c r="K44" s="37"/>
      <c r="L44" s="39"/>
    </row>
    <row r="45" spans="1:12">
      <c r="A45" s="209" t="s">
        <v>89</v>
      </c>
      <c r="B45" s="34" t="s">
        <v>638</v>
      </c>
      <c r="C45" s="35" t="s">
        <v>29</v>
      </c>
      <c r="D45" s="64">
        <v>20</v>
      </c>
      <c r="E45" s="36"/>
      <c r="F45" s="36">
        <f>Tabela23[[#This Row],[Ilość]]*Tabela23[[#This Row],[C.j. netto]]</f>
        <v>0</v>
      </c>
      <c r="G45" s="37"/>
      <c r="H45" s="38"/>
      <c r="I45" s="66"/>
      <c r="J45" s="37"/>
      <c r="K45" s="37"/>
      <c r="L45" s="39"/>
    </row>
    <row r="46" spans="1:12">
      <c r="A46" s="209" t="s">
        <v>90</v>
      </c>
      <c r="B46" s="34" t="s">
        <v>639</v>
      </c>
      <c r="C46" s="35" t="s">
        <v>29</v>
      </c>
      <c r="D46" s="64">
        <v>25</v>
      </c>
      <c r="E46" s="36"/>
      <c r="F46" s="36">
        <f>Tabela23[[#This Row],[Ilość]]*Tabela23[[#This Row],[C.j. netto]]</f>
        <v>0</v>
      </c>
      <c r="G46" s="37"/>
      <c r="H46" s="38"/>
      <c r="I46" s="37"/>
      <c r="J46" s="37"/>
      <c r="K46" s="37"/>
      <c r="L46" s="39"/>
    </row>
    <row r="47" spans="1:12">
      <c r="A47" s="209" t="s">
        <v>92</v>
      </c>
      <c r="B47" s="34" t="s">
        <v>640</v>
      </c>
      <c r="C47" s="35" t="s">
        <v>29</v>
      </c>
      <c r="D47" s="64">
        <v>12</v>
      </c>
      <c r="E47" s="36"/>
      <c r="F47" s="36">
        <f>Tabela23[[#This Row],[Ilość]]*Tabela23[[#This Row],[C.j. netto]]</f>
        <v>0</v>
      </c>
      <c r="G47" s="37"/>
      <c r="H47" s="38"/>
      <c r="I47" s="37"/>
      <c r="J47" s="37"/>
      <c r="K47" s="37"/>
      <c r="L47" s="39"/>
    </row>
    <row r="48" spans="1:12">
      <c r="A48" s="209" t="s">
        <v>94</v>
      </c>
      <c r="B48" s="34" t="s">
        <v>641</v>
      </c>
      <c r="C48" s="35" t="s">
        <v>29</v>
      </c>
      <c r="D48" s="64">
        <v>30</v>
      </c>
      <c r="E48" s="36"/>
      <c r="F48" s="36">
        <f>Tabela23[[#This Row],[Ilość]]*Tabela23[[#This Row],[C.j. netto]]</f>
        <v>0</v>
      </c>
      <c r="G48" s="37"/>
      <c r="H48" s="38"/>
      <c r="I48" s="37"/>
      <c r="J48" s="37"/>
      <c r="K48" s="37"/>
      <c r="L48" s="39"/>
    </row>
    <row r="49" spans="1:12">
      <c r="A49" s="209" t="s">
        <v>96</v>
      </c>
      <c r="B49" s="34" t="s">
        <v>642</v>
      </c>
      <c r="C49" s="35" t="s">
        <v>29</v>
      </c>
      <c r="D49" s="64">
        <v>10</v>
      </c>
      <c r="E49" s="36"/>
      <c r="F49" s="36">
        <f>Tabela23[[#This Row],[Ilość]]*Tabela23[[#This Row],[C.j. netto]]</f>
        <v>0</v>
      </c>
      <c r="G49" s="37"/>
      <c r="H49" s="38"/>
      <c r="I49" s="37"/>
      <c r="J49" s="37"/>
      <c r="K49" s="37"/>
      <c r="L49" s="39"/>
    </row>
    <row r="50" spans="1:12">
      <c r="A50" s="209" t="s">
        <v>98</v>
      </c>
      <c r="B50" s="34" t="s">
        <v>643</v>
      </c>
      <c r="C50" s="35" t="s">
        <v>29</v>
      </c>
      <c r="D50" s="64">
        <v>8</v>
      </c>
      <c r="E50" s="36"/>
      <c r="F50" s="36">
        <f>Tabela23[[#This Row],[Ilość]]*Tabela23[[#This Row],[C.j. netto]]</f>
        <v>0</v>
      </c>
      <c r="G50" s="37"/>
      <c r="H50" s="38"/>
      <c r="I50" s="37"/>
      <c r="J50" s="37"/>
      <c r="K50" s="37"/>
      <c r="L50" s="39"/>
    </row>
    <row r="51" spans="1:12">
      <c r="A51" s="209" t="s">
        <v>100</v>
      </c>
      <c r="B51" s="34" t="s">
        <v>644</v>
      </c>
      <c r="C51" s="35" t="s">
        <v>29</v>
      </c>
      <c r="D51" s="64">
        <v>5</v>
      </c>
      <c r="E51" s="36"/>
      <c r="F51" s="36">
        <f>Tabela23[[#This Row],[Ilość]]*Tabela23[[#This Row],[C.j. netto]]</f>
        <v>0</v>
      </c>
      <c r="G51" s="37"/>
      <c r="H51" s="38"/>
      <c r="I51" s="37"/>
      <c r="J51" s="37"/>
      <c r="K51" s="37"/>
      <c r="L51" s="39"/>
    </row>
    <row r="52" spans="1:12">
      <c r="A52" s="209" t="s">
        <v>102</v>
      </c>
      <c r="B52" s="34" t="s">
        <v>645</v>
      </c>
      <c r="C52" s="35" t="s">
        <v>29</v>
      </c>
      <c r="D52" s="64">
        <v>22</v>
      </c>
      <c r="E52" s="36"/>
      <c r="F52" s="36">
        <f>Tabela23[[#This Row],[Ilość]]*Tabela23[[#This Row],[C.j. netto]]</f>
        <v>0</v>
      </c>
      <c r="G52" s="37"/>
      <c r="H52" s="38"/>
      <c r="I52" s="66"/>
      <c r="J52" s="37"/>
      <c r="K52" s="37"/>
      <c r="L52" s="39"/>
    </row>
    <row r="53" spans="1:12">
      <c r="A53" s="209" t="s">
        <v>104</v>
      </c>
      <c r="B53" s="34" t="s">
        <v>646</v>
      </c>
      <c r="C53" s="35" t="s">
        <v>29</v>
      </c>
      <c r="D53" s="64">
        <v>8</v>
      </c>
      <c r="E53" s="36"/>
      <c r="F53" s="36">
        <f>Tabela23[[#This Row],[Ilość]]*Tabela23[[#This Row],[C.j. netto]]</f>
        <v>0</v>
      </c>
      <c r="G53" s="37"/>
      <c r="H53" s="38"/>
      <c r="I53" s="37"/>
      <c r="J53" s="37"/>
      <c r="K53" s="37"/>
      <c r="L53" s="39"/>
    </row>
    <row r="54" spans="1:12">
      <c r="A54" s="209" t="s">
        <v>105</v>
      </c>
      <c r="B54" s="34" t="s">
        <v>647</v>
      </c>
      <c r="C54" s="35" t="s">
        <v>44</v>
      </c>
      <c r="D54" s="64">
        <v>5</v>
      </c>
      <c r="E54" s="36"/>
      <c r="F54" s="36">
        <f>Tabela23[[#This Row],[Ilość]]*Tabela23[[#This Row],[C.j. netto]]</f>
        <v>0</v>
      </c>
      <c r="G54" s="37"/>
      <c r="H54" s="38"/>
      <c r="I54" s="37"/>
      <c r="J54" s="37"/>
      <c r="K54" s="37"/>
      <c r="L54" s="39"/>
    </row>
    <row r="55" spans="1:12">
      <c r="A55" s="209" t="s">
        <v>331</v>
      </c>
      <c r="B55" s="34" t="s">
        <v>648</v>
      </c>
      <c r="C55" s="35" t="s">
        <v>29</v>
      </c>
      <c r="D55" s="64">
        <v>250</v>
      </c>
      <c r="E55" s="36"/>
      <c r="F55" s="36">
        <f>Tabela23[[#This Row],[Ilość]]*Tabela23[[#This Row],[C.j. netto]]</f>
        <v>0</v>
      </c>
      <c r="G55" s="37"/>
      <c r="H55" s="38"/>
      <c r="I55" s="66"/>
      <c r="J55" s="37"/>
      <c r="K55" s="37"/>
      <c r="L55" s="39"/>
    </row>
    <row r="56" spans="1:12" ht="18" customHeight="1">
      <c r="A56" s="209" t="s">
        <v>333</v>
      </c>
      <c r="B56" s="34" t="s">
        <v>671</v>
      </c>
      <c r="C56" s="35" t="s">
        <v>29</v>
      </c>
      <c r="D56" s="64">
        <v>30</v>
      </c>
      <c r="E56" s="36"/>
      <c r="F56" s="36">
        <f>Tabela23[[#This Row],[Ilość]]*Tabela23[[#This Row],[C.j. netto]]</f>
        <v>0</v>
      </c>
      <c r="G56" s="37"/>
      <c r="H56" s="38"/>
      <c r="I56" s="37"/>
      <c r="J56" s="37"/>
      <c r="K56" s="37"/>
      <c r="L56" s="39"/>
    </row>
    <row r="57" spans="1:12" ht="15.75" customHeight="1">
      <c r="A57" s="209" t="s">
        <v>335</v>
      </c>
      <c r="B57" s="34" t="s">
        <v>672</v>
      </c>
      <c r="C57" s="35" t="s">
        <v>29</v>
      </c>
      <c r="D57" s="64">
        <v>18</v>
      </c>
      <c r="E57" s="36"/>
      <c r="F57" s="36">
        <f>Tabela23[[#This Row],[Ilość]]*Tabela23[[#This Row],[C.j. netto]]</f>
        <v>0</v>
      </c>
      <c r="G57" s="37"/>
      <c r="H57" s="38"/>
      <c r="I57" s="37"/>
      <c r="J57" s="37"/>
      <c r="K57" s="37"/>
      <c r="L57" s="39"/>
    </row>
    <row r="58" spans="1:12" ht="17.25" customHeight="1">
      <c r="A58" s="209" t="s">
        <v>337</v>
      </c>
      <c r="B58" s="34" t="s">
        <v>673</v>
      </c>
      <c r="C58" s="35" t="s">
        <v>29</v>
      </c>
      <c r="D58" s="64">
        <v>40</v>
      </c>
      <c r="E58" s="36"/>
      <c r="F58" s="36">
        <f>Tabela23[[#This Row],[Ilość]]*Tabela23[[#This Row],[C.j. netto]]</f>
        <v>0</v>
      </c>
      <c r="G58" s="37"/>
      <c r="H58" s="38"/>
      <c r="I58" s="66"/>
      <c r="J58" s="37"/>
      <c r="K58" s="37"/>
      <c r="L58" s="39"/>
    </row>
    <row r="59" spans="1:12" ht="19.5" customHeight="1">
      <c r="A59" s="209" t="s">
        <v>339</v>
      </c>
      <c r="B59" s="34" t="s">
        <v>649</v>
      </c>
      <c r="C59" s="35" t="s">
        <v>29</v>
      </c>
      <c r="D59" s="64">
        <v>5</v>
      </c>
      <c r="E59" s="36"/>
      <c r="F59" s="36">
        <f>Tabela23[[#This Row],[Ilość]]*Tabela23[[#This Row],[C.j. netto]]</f>
        <v>0</v>
      </c>
      <c r="G59" s="37"/>
      <c r="H59" s="38"/>
      <c r="I59" s="37"/>
      <c r="J59" s="37"/>
      <c r="K59" s="37"/>
      <c r="L59" s="39"/>
    </row>
    <row r="60" spans="1:12">
      <c r="A60" s="209" t="s">
        <v>341</v>
      </c>
      <c r="B60" s="34" t="s">
        <v>650</v>
      </c>
      <c r="C60" s="35" t="s">
        <v>29</v>
      </c>
      <c r="D60" s="64">
        <v>22</v>
      </c>
      <c r="E60" s="36"/>
      <c r="F60" s="36">
        <f>Tabela23[[#This Row],[Ilość]]*Tabela23[[#This Row],[C.j. netto]]</f>
        <v>0</v>
      </c>
      <c r="G60" s="37"/>
      <c r="H60" s="38"/>
      <c r="I60" s="37"/>
      <c r="J60" s="37"/>
      <c r="K60" s="37"/>
      <c r="L60" s="39"/>
    </row>
    <row r="61" spans="1:12">
      <c r="A61" s="209" t="s">
        <v>343</v>
      </c>
      <c r="B61" s="34" t="s">
        <v>651</v>
      </c>
      <c r="C61" s="35" t="s">
        <v>29</v>
      </c>
      <c r="D61" s="64">
        <v>4</v>
      </c>
      <c r="E61" s="36"/>
      <c r="F61" s="36">
        <f>Tabela23[[#This Row],[Ilość]]*Tabela23[[#This Row],[C.j. netto]]</f>
        <v>0</v>
      </c>
      <c r="G61" s="37"/>
      <c r="H61" s="38"/>
      <c r="I61" s="37"/>
      <c r="J61" s="37"/>
      <c r="K61" s="37"/>
      <c r="L61" s="39"/>
    </row>
    <row r="62" spans="1:12">
      <c r="A62" s="209" t="s">
        <v>345</v>
      </c>
      <c r="B62" s="34" t="s">
        <v>652</v>
      </c>
      <c r="C62" s="35" t="s">
        <v>306</v>
      </c>
      <c r="D62" s="64">
        <v>3</v>
      </c>
      <c r="E62" s="36"/>
      <c r="F62" s="36">
        <f>Tabela23[[#This Row],[Ilość]]*Tabela23[[#This Row],[C.j. netto]]</f>
        <v>0</v>
      </c>
      <c r="G62" s="37"/>
      <c r="H62" s="38"/>
      <c r="I62" s="37"/>
      <c r="J62" s="37"/>
      <c r="K62" s="37"/>
      <c r="L62" s="37"/>
    </row>
    <row r="63" spans="1:12" ht="28.5">
      <c r="A63" s="9" t="s">
        <v>346</v>
      </c>
      <c r="B63" s="5" t="s">
        <v>1315</v>
      </c>
      <c r="C63" s="25" t="s">
        <v>29</v>
      </c>
      <c r="D63" s="73">
        <v>120</v>
      </c>
      <c r="E63" s="68"/>
      <c r="F63" s="36">
        <f>Tabela23[[#This Row],[Ilość]]*Tabela23[[#This Row],[C.j. netto]]</f>
        <v>0</v>
      </c>
      <c r="G63" s="12"/>
      <c r="H63" s="69"/>
      <c r="I63" s="12"/>
      <c r="J63" s="37"/>
      <c r="K63" s="37"/>
      <c r="L63" s="37"/>
    </row>
    <row r="64" spans="1:12" ht="28.5">
      <c r="A64" s="9" t="s">
        <v>348</v>
      </c>
      <c r="B64" s="5" t="s">
        <v>653</v>
      </c>
      <c r="C64" s="25" t="s">
        <v>29</v>
      </c>
      <c r="D64" s="73">
        <v>55</v>
      </c>
      <c r="E64" s="70"/>
      <c r="F64" s="36">
        <f>Tabela23[[#This Row],[Ilość]]*Tabela23[[#This Row],[C.j. netto]]</f>
        <v>0</v>
      </c>
      <c r="G64" s="12"/>
      <c r="H64" s="71"/>
      <c r="I64" s="72"/>
      <c r="J64" s="37"/>
      <c r="K64" s="37"/>
      <c r="L64" s="37"/>
    </row>
    <row r="65" spans="1:12">
      <c r="A65" s="9" t="s">
        <v>350</v>
      </c>
      <c r="B65" s="5" t="s">
        <v>654</v>
      </c>
      <c r="C65" s="25" t="s">
        <v>29</v>
      </c>
      <c r="D65" s="73">
        <v>15</v>
      </c>
      <c r="E65" s="70"/>
      <c r="F65" s="36">
        <f>Tabela23[[#This Row],[Ilość]]*Tabela23[[#This Row],[C.j. netto]]</f>
        <v>0</v>
      </c>
      <c r="G65" s="12"/>
      <c r="H65" s="71"/>
      <c r="I65" s="12"/>
      <c r="J65" s="37"/>
      <c r="K65" s="37"/>
      <c r="L65" s="37"/>
    </row>
    <row r="66" spans="1:12">
      <c r="A66" s="9" t="s">
        <v>352</v>
      </c>
      <c r="B66" s="5" t="s">
        <v>655</v>
      </c>
      <c r="C66" s="25" t="s">
        <v>29</v>
      </c>
      <c r="D66" s="73">
        <v>10</v>
      </c>
      <c r="E66" s="70"/>
      <c r="F66" s="36">
        <f>Tabela23[[#This Row],[Ilość]]*Tabela23[[#This Row],[C.j. netto]]</f>
        <v>0</v>
      </c>
      <c r="G66" s="12"/>
      <c r="H66" s="71"/>
      <c r="I66" s="12"/>
      <c r="J66" s="37"/>
      <c r="K66" s="37"/>
      <c r="L66" s="37"/>
    </row>
    <row r="67" spans="1:12">
      <c r="A67" s="9" t="s">
        <v>354</v>
      </c>
      <c r="B67" s="5" t="s">
        <v>656</v>
      </c>
      <c r="C67" s="25" t="s">
        <v>29</v>
      </c>
      <c r="D67" s="73">
        <v>100</v>
      </c>
      <c r="E67" s="70"/>
      <c r="F67" s="36">
        <f>Tabela23[[#This Row],[Ilość]]*Tabela23[[#This Row],[C.j. netto]]</f>
        <v>0</v>
      </c>
      <c r="G67" s="12"/>
      <c r="H67" s="71"/>
      <c r="I67" s="72"/>
      <c r="J67" s="37"/>
      <c r="K67" s="37"/>
      <c r="L67" s="37"/>
    </row>
    <row r="68" spans="1:12" ht="57">
      <c r="A68" s="211" t="s">
        <v>356</v>
      </c>
      <c r="B68" s="5" t="s">
        <v>657</v>
      </c>
      <c r="C68" s="25" t="s">
        <v>29</v>
      </c>
      <c r="D68" s="73">
        <v>50</v>
      </c>
      <c r="E68" s="70"/>
      <c r="F68" s="36">
        <f>Tabela23[[#This Row],[Ilość]]*Tabela23[[#This Row],[C.j. netto]]</f>
        <v>0</v>
      </c>
      <c r="G68" s="12"/>
      <c r="H68" s="71"/>
      <c r="I68" s="72"/>
      <c r="J68" s="37"/>
      <c r="K68" s="37"/>
      <c r="L68" s="37"/>
    </row>
    <row r="69" spans="1:12">
      <c r="A69" s="9" t="s">
        <v>358</v>
      </c>
      <c r="B69" s="5" t="s">
        <v>658</v>
      </c>
      <c r="C69" s="25" t="s">
        <v>29</v>
      </c>
      <c r="D69" s="73">
        <v>100</v>
      </c>
      <c r="E69" s="70"/>
      <c r="F69" s="36">
        <f>Tabela23[[#This Row],[Ilość]]*Tabela23[[#This Row],[C.j. netto]]</f>
        <v>0</v>
      </c>
      <c r="G69" s="12"/>
      <c r="H69" s="71"/>
      <c r="I69" s="72"/>
      <c r="J69" s="37"/>
      <c r="K69" s="37"/>
      <c r="L69" s="37"/>
    </row>
    <row r="70" spans="1:12">
      <c r="A70" s="9" t="s">
        <v>360</v>
      </c>
      <c r="B70" s="5" t="s">
        <v>659</v>
      </c>
      <c r="C70" s="25" t="s">
        <v>29</v>
      </c>
      <c r="D70" s="73">
        <v>100</v>
      </c>
      <c r="E70" s="70"/>
      <c r="F70" s="36">
        <f>Tabela23[[#This Row],[Ilość]]*Tabela23[[#This Row],[C.j. netto]]</f>
        <v>0</v>
      </c>
      <c r="G70" s="12"/>
      <c r="H70" s="71"/>
      <c r="I70" s="72"/>
      <c r="J70" s="37"/>
      <c r="K70" s="37"/>
      <c r="L70" s="37"/>
    </row>
    <row r="71" spans="1:12">
      <c r="A71" s="212" t="s">
        <v>1299</v>
      </c>
      <c r="B71" s="5" t="s">
        <v>1314</v>
      </c>
      <c r="C71" s="25" t="s">
        <v>29</v>
      </c>
      <c r="D71" s="73">
        <v>15</v>
      </c>
      <c r="E71" s="70"/>
      <c r="F71" s="36">
        <f>Tabela23[[#This Row],[Ilość]]*Tabela23[[#This Row],[C.j. netto]]</f>
        <v>0</v>
      </c>
      <c r="G71" s="12"/>
      <c r="H71" s="71"/>
      <c r="I71" s="12"/>
      <c r="J71" s="37"/>
      <c r="K71" s="37"/>
      <c r="L71" s="37"/>
    </row>
    <row r="72" spans="1:12">
      <c r="A72" s="9" t="s">
        <v>1313</v>
      </c>
      <c r="B72" s="5" t="s">
        <v>660</v>
      </c>
      <c r="C72" s="25" t="s">
        <v>29</v>
      </c>
      <c r="D72" s="73">
        <v>10</v>
      </c>
      <c r="E72" s="70"/>
      <c r="F72" s="36">
        <f>Tabela23[[#This Row],[Ilość]]*Tabela23[[#This Row],[C.j. netto]]</f>
        <v>0</v>
      </c>
      <c r="G72" s="12"/>
      <c r="H72" s="71"/>
      <c r="I72" s="12"/>
      <c r="J72" s="37"/>
      <c r="K72" s="37"/>
      <c r="L72" s="37"/>
    </row>
    <row r="73" spans="1:12" ht="28.5">
      <c r="A73" s="9" t="s">
        <v>365</v>
      </c>
      <c r="B73" s="5" t="s">
        <v>661</v>
      </c>
      <c r="C73" s="25" t="s">
        <v>29</v>
      </c>
      <c r="D73" s="73">
        <v>5</v>
      </c>
      <c r="E73" s="70"/>
      <c r="F73" s="36">
        <f>Tabela23[[#This Row],[Ilość]]*Tabela23[[#This Row],[C.j. netto]]</f>
        <v>0</v>
      </c>
      <c r="G73" s="12"/>
      <c r="H73" s="71"/>
      <c r="I73" s="12"/>
      <c r="J73" s="37"/>
      <c r="K73" s="37"/>
      <c r="L73" s="37"/>
    </row>
    <row r="74" spans="1:12" ht="28.5">
      <c r="A74" s="9" t="s">
        <v>366</v>
      </c>
      <c r="B74" s="5" t="s">
        <v>662</v>
      </c>
      <c r="C74" s="25" t="s">
        <v>29</v>
      </c>
      <c r="D74" s="73">
        <v>5</v>
      </c>
      <c r="E74" s="70"/>
      <c r="F74" s="36">
        <f>Tabela23[[#This Row],[Ilość]]*Tabela23[[#This Row],[C.j. netto]]</f>
        <v>0</v>
      </c>
      <c r="G74" s="12"/>
      <c r="H74" s="71"/>
      <c r="I74" s="12"/>
      <c r="J74" s="37"/>
      <c r="K74" s="37"/>
      <c r="L74" s="37"/>
    </row>
    <row r="75" spans="1:12">
      <c r="A75" s="9" t="s">
        <v>1300</v>
      </c>
      <c r="B75" s="5" t="s">
        <v>663</v>
      </c>
      <c r="C75" s="25" t="s">
        <v>29</v>
      </c>
      <c r="D75" s="73">
        <v>50</v>
      </c>
      <c r="E75" s="70"/>
      <c r="F75" s="36">
        <f>Tabela23[[#This Row],[Ilość]]*Tabela23[[#This Row],[C.j. netto]]</f>
        <v>0</v>
      </c>
      <c r="G75" s="12"/>
      <c r="H75" s="71"/>
      <c r="I75" s="12"/>
      <c r="J75" s="37"/>
      <c r="K75" s="37"/>
      <c r="L75" s="37"/>
    </row>
    <row r="76" spans="1:12">
      <c r="A76" s="9" t="s">
        <v>369</v>
      </c>
      <c r="B76" s="5" t="s">
        <v>664</v>
      </c>
      <c r="C76" s="25" t="s">
        <v>29</v>
      </c>
      <c r="D76" s="73">
        <v>5</v>
      </c>
      <c r="E76" s="70"/>
      <c r="F76" s="36">
        <f>Tabela23[[#This Row],[Ilość]]*Tabela23[[#This Row],[C.j. netto]]</f>
        <v>0</v>
      </c>
      <c r="G76" s="12"/>
      <c r="H76" s="71"/>
      <c r="I76" s="12"/>
      <c r="J76" s="37"/>
      <c r="K76" s="37"/>
      <c r="L76" s="37"/>
    </row>
    <row r="77" spans="1:12">
      <c r="A77" s="9" t="s">
        <v>1301</v>
      </c>
      <c r="B77" s="5" t="s">
        <v>665</v>
      </c>
      <c r="C77" s="25" t="s">
        <v>29</v>
      </c>
      <c r="D77" s="73">
        <v>40</v>
      </c>
      <c r="E77" s="70"/>
      <c r="F77" s="36">
        <f>Tabela23[[#This Row],[Ilość]]*Tabela23[[#This Row],[C.j. netto]]</f>
        <v>0</v>
      </c>
      <c r="G77" s="12"/>
      <c r="H77" s="71"/>
      <c r="I77" s="12"/>
      <c r="J77" s="37"/>
      <c r="K77" s="37"/>
      <c r="L77" s="37"/>
    </row>
    <row r="78" spans="1:12">
      <c r="A78" s="9" t="s">
        <v>372</v>
      </c>
      <c r="B78" s="5" t="s">
        <v>666</v>
      </c>
      <c r="C78" s="25" t="s">
        <v>29</v>
      </c>
      <c r="D78" s="73">
        <v>5</v>
      </c>
      <c r="E78" s="70"/>
      <c r="F78" s="36">
        <f>Tabela23[[#This Row],[Ilość]]*Tabela23[[#This Row],[C.j. netto]]</f>
        <v>0</v>
      </c>
      <c r="G78" s="12"/>
      <c r="H78" s="71"/>
      <c r="I78" s="12"/>
      <c r="J78" s="37"/>
      <c r="K78" s="37"/>
      <c r="L78" s="37"/>
    </row>
    <row r="79" spans="1:12">
      <c r="A79" s="9" t="s">
        <v>374</v>
      </c>
      <c r="B79" s="34" t="s">
        <v>1045</v>
      </c>
      <c r="C79" s="111" t="s">
        <v>29</v>
      </c>
      <c r="D79" s="35">
        <v>35</v>
      </c>
      <c r="E79" s="100"/>
      <c r="F79" s="36">
        <f>Tabela23[[#This Row],[Ilość]]*Tabela23[[#This Row],[C.j. netto]]</f>
        <v>0</v>
      </c>
      <c r="G79" s="37"/>
      <c r="H79" s="38"/>
      <c r="I79" s="37"/>
      <c r="J79" s="37"/>
      <c r="K79" s="37"/>
      <c r="L79" s="39"/>
    </row>
    <row r="80" spans="1:12">
      <c r="A80" s="13" t="s">
        <v>118</v>
      </c>
      <c r="B80" s="14"/>
      <c r="C80" s="26"/>
      <c r="D80" s="26"/>
      <c r="E80" s="15"/>
      <c r="F80" s="31">
        <f>SUBTOTAL(109,Tabela23[Wartość netto])</f>
        <v>0</v>
      </c>
      <c r="G80" s="15"/>
      <c r="H80" s="26"/>
      <c r="I80" s="15"/>
      <c r="J80" s="15"/>
      <c r="K80" s="15"/>
      <c r="L80" s="16"/>
    </row>
    <row r="81" spans="1:12">
      <c r="A81" s="27"/>
      <c r="E81"/>
      <c r="F81" s="28"/>
      <c r="H81" s="24"/>
    </row>
    <row r="82" spans="1:12">
      <c r="A82" s="27"/>
      <c r="E82"/>
      <c r="F82" s="28"/>
      <c r="H82" s="24"/>
    </row>
    <row r="83" spans="1:12" ht="30">
      <c r="A83" s="10" t="s">
        <v>115</v>
      </c>
      <c r="B83" s="5"/>
    </row>
    <row r="84" spans="1:12" ht="15">
      <c r="A84" s="11" t="s">
        <v>116</v>
      </c>
      <c r="B84" s="5"/>
      <c r="L84" s="17"/>
    </row>
    <row r="85" spans="1:12" ht="15">
      <c r="A85" s="11" t="s">
        <v>117</v>
      </c>
      <c r="B85" s="5"/>
      <c r="L85" s="32" t="s">
        <v>119</v>
      </c>
    </row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0" fitToHeight="0" orientation="landscape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4F051-1627-4169-B2BF-DD9D020FCE5A}">
  <sheetPr>
    <pageSetUpPr fitToPage="1"/>
  </sheetPr>
  <dimension ref="A1:M26"/>
  <sheetViews>
    <sheetView workbookViewId="0">
      <selection activeCell="I25" sqref="I25"/>
    </sheetView>
    <sheetView workbookViewId="1"/>
    <sheetView workbookViewId="2">
      <selection activeCell="E9" sqref="E9:E22"/>
    </sheetView>
  </sheetViews>
  <sheetFormatPr defaultRowHeight="14.25"/>
  <cols>
    <col min="1" max="1" width="14.125" customWidth="1"/>
    <col min="2" max="2" width="49.625" style="6" customWidth="1"/>
    <col min="3" max="4" width="9.125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675</v>
      </c>
      <c r="B1" s="19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33" t="s">
        <v>4</v>
      </c>
      <c r="B9" s="57" t="s">
        <v>156</v>
      </c>
      <c r="C9" s="35" t="s">
        <v>29</v>
      </c>
      <c r="D9" s="35">
        <v>30</v>
      </c>
      <c r="E9" s="36"/>
      <c r="F9" s="36">
        <f>Tabela24[[#This Row],[Ilość]]*Tabela24[[#This Row],[C.j. netto]]</f>
        <v>0</v>
      </c>
      <c r="G9" s="37"/>
      <c r="H9" s="38"/>
      <c r="I9" s="37"/>
      <c r="J9" s="37"/>
      <c r="K9" s="37"/>
      <c r="L9" s="39"/>
    </row>
    <row r="10" spans="1:13">
      <c r="A10" s="33" t="s">
        <v>5</v>
      </c>
      <c r="B10" s="57" t="s">
        <v>157</v>
      </c>
      <c r="C10" s="35" t="s">
        <v>29</v>
      </c>
      <c r="D10" s="35">
        <v>65</v>
      </c>
      <c r="E10" s="36"/>
      <c r="F10" s="36">
        <f>Tabela24[[#This Row],[Ilość]]*Tabela24[[#This Row],[C.j. netto]]</f>
        <v>0</v>
      </c>
      <c r="G10" s="37"/>
      <c r="H10" s="38"/>
      <c r="I10" s="37"/>
      <c r="J10" s="37"/>
      <c r="K10" s="37"/>
      <c r="L10" s="39"/>
    </row>
    <row r="11" spans="1:13">
      <c r="A11" s="33" t="s">
        <v>6</v>
      </c>
      <c r="B11" s="57" t="s">
        <v>158</v>
      </c>
      <c r="C11" s="35" t="s">
        <v>29</v>
      </c>
      <c r="D11" s="35">
        <v>10</v>
      </c>
      <c r="E11" s="36"/>
      <c r="F11" s="36">
        <f>Tabela24[[#This Row],[Ilość]]*Tabela24[[#This Row],[C.j. netto]]</f>
        <v>0</v>
      </c>
      <c r="G11" s="37"/>
      <c r="H11" s="38"/>
      <c r="I11" s="37"/>
      <c r="J11" s="37"/>
      <c r="K11" s="37"/>
      <c r="L11" s="39"/>
    </row>
    <row r="12" spans="1:13">
      <c r="A12" s="33" t="s">
        <v>26</v>
      </c>
      <c r="B12" s="57" t="s">
        <v>159</v>
      </c>
      <c r="C12" s="35" t="s">
        <v>29</v>
      </c>
      <c r="D12" s="35">
        <v>10</v>
      </c>
      <c r="E12" s="36"/>
      <c r="F12" s="36">
        <f>Tabela24[[#This Row],[Ilość]]*Tabela24[[#This Row],[C.j. netto]]</f>
        <v>0</v>
      </c>
      <c r="G12" s="37"/>
      <c r="H12" s="38"/>
      <c r="I12" s="37"/>
      <c r="J12" s="37"/>
      <c r="K12" s="37"/>
      <c r="L12" s="39"/>
    </row>
    <row r="13" spans="1:13">
      <c r="A13" s="33" t="s">
        <v>27</v>
      </c>
      <c r="B13" s="57" t="s">
        <v>160</v>
      </c>
      <c r="C13" s="35" t="s">
        <v>29</v>
      </c>
      <c r="D13" s="35">
        <v>10</v>
      </c>
      <c r="E13" s="36"/>
      <c r="F13" s="36">
        <f>Tabela24[[#This Row],[Ilość]]*Tabela24[[#This Row],[C.j. netto]]</f>
        <v>0</v>
      </c>
      <c r="G13" s="37"/>
      <c r="H13" s="38"/>
      <c r="I13" s="37"/>
      <c r="J13" s="37"/>
      <c r="K13" s="37"/>
      <c r="L13" s="39"/>
    </row>
    <row r="14" spans="1:13">
      <c r="A14" s="33" t="s">
        <v>32</v>
      </c>
      <c r="B14" s="57" t="s">
        <v>161</v>
      </c>
      <c r="C14" s="35" t="s">
        <v>29</v>
      </c>
      <c r="D14" s="35">
        <v>30</v>
      </c>
      <c r="E14" s="36"/>
      <c r="F14" s="36">
        <f>Tabela24[[#This Row],[Ilość]]*Tabela24[[#This Row],[C.j. netto]]</f>
        <v>0</v>
      </c>
      <c r="G14" s="37"/>
      <c r="H14" s="38"/>
      <c r="I14" s="37"/>
      <c r="J14" s="37"/>
      <c r="K14" s="37"/>
      <c r="L14" s="39"/>
    </row>
    <row r="15" spans="1:13">
      <c r="A15" s="33" t="s">
        <v>34</v>
      </c>
      <c r="B15" s="57" t="s">
        <v>162</v>
      </c>
      <c r="C15" s="35" t="s">
        <v>29</v>
      </c>
      <c r="D15" s="35">
        <v>10</v>
      </c>
      <c r="E15" s="36"/>
      <c r="F15" s="36">
        <f>Tabela24[[#This Row],[Ilość]]*Tabela24[[#This Row],[C.j. netto]]</f>
        <v>0</v>
      </c>
      <c r="G15" s="37"/>
      <c r="H15" s="38"/>
      <c r="I15" s="37"/>
      <c r="J15" s="37"/>
      <c r="K15" s="37"/>
      <c r="L15" s="39"/>
    </row>
    <row r="16" spans="1:13">
      <c r="A16" s="33" t="s">
        <v>36</v>
      </c>
      <c r="B16" s="57" t="s">
        <v>163</v>
      </c>
      <c r="C16" s="35" t="s">
        <v>29</v>
      </c>
      <c r="D16" s="35">
        <v>5</v>
      </c>
      <c r="E16" s="36"/>
      <c r="F16" s="36">
        <f>Tabela24[[#This Row],[Ilość]]*Tabela24[[#This Row],[C.j. netto]]</f>
        <v>0</v>
      </c>
      <c r="G16" s="37"/>
      <c r="H16" s="38"/>
      <c r="I16" s="37"/>
      <c r="J16" s="37"/>
      <c r="K16" s="37"/>
      <c r="L16" s="39"/>
    </row>
    <row r="17" spans="1:12">
      <c r="A17" s="33" t="s">
        <v>38</v>
      </c>
      <c r="B17" s="57" t="s">
        <v>164</v>
      </c>
      <c r="C17" s="35" t="s">
        <v>29</v>
      </c>
      <c r="D17" s="35">
        <v>10</v>
      </c>
      <c r="E17" s="36"/>
      <c r="F17" s="36">
        <f>Tabela24[[#This Row],[Ilość]]*Tabela24[[#This Row],[C.j. netto]]</f>
        <v>0</v>
      </c>
      <c r="G17" s="37"/>
      <c r="H17" s="38"/>
      <c r="I17" s="37"/>
      <c r="J17" s="37"/>
      <c r="K17" s="37"/>
      <c r="L17" s="39"/>
    </row>
    <row r="18" spans="1:12">
      <c r="A18" s="33" t="s">
        <v>40</v>
      </c>
      <c r="B18" s="57" t="s">
        <v>165</v>
      </c>
      <c r="C18" s="35" t="s">
        <v>29</v>
      </c>
      <c r="D18" s="35">
        <v>5</v>
      </c>
      <c r="E18" s="36"/>
      <c r="F18" s="36">
        <f>Tabela24[[#This Row],[Ilość]]*Tabela24[[#This Row],[C.j. netto]]</f>
        <v>0</v>
      </c>
      <c r="G18" s="37"/>
      <c r="H18" s="38"/>
      <c r="I18" s="37"/>
      <c r="J18" s="37"/>
      <c r="K18" s="37"/>
      <c r="L18" s="39"/>
    </row>
    <row r="19" spans="1:12">
      <c r="A19" s="33" t="s">
        <v>42</v>
      </c>
      <c r="B19" s="57" t="s">
        <v>166</v>
      </c>
      <c r="C19" s="35" t="s">
        <v>29</v>
      </c>
      <c r="D19" s="35">
        <v>7</v>
      </c>
      <c r="E19" s="36"/>
      <c r="F19" s="36">
        <f>Tabela24[[#This Row],[Ilość]]*Tabela24[[#This Row],[C.j. netto]]</f>
        <v>0</v>
      </c>
      <c r="G19" s="37"/>
      <c r="H19" s="38"/>
      <c r="I19" s="37"/>
      <c r="J19" s="37"/>
      <c r="K19" s="37"/>
      <c r="L19" s="39"/>
    </row>
    <row r="20" spans="1:12">
      <c r="A20" s="33" t="s">
        <v>45</v>
      </c>
      <c r="B20" s="57" t="s">
        <v>167</v>
      </c>
      <c r="C20" s="35" t="s">
        <v>29</v>
      </c>
      <c r="D20" s="35">
        <v>20</v>
      </c>
      <c r="E20" s="36"/>
      <c r="F20" s="36">
        <f>Tabela24[[#This Row],[Ilość]]*Tabela24[[#This Row],[C.j. netto]]</f>
        <v>0</v>
      </c>
      <c r="G20" s="37"/>
      <c r="H20" s="38"/>
      <c r="I20" s="37"/>
      <c r="J20" s="37"/>
      <c r="K20" s="37"/>
      <c r="L20" s="39"/>
    </row>
    <row r="21" spans="1:12">
      <c r="A21" s="13" t="s">
        <v>118</v>
      </c>
      <c r="B21" s="58"/>
      <c r="C21" s="26"/>
      <c r="D21" s="26"/>
      <c r="E21" s="15"/>
      <c r="F21" s="31">
        <f>SUBTOTAL(109,Tabela24[Wartość netto])</f>
        <v>0</v>
      </c>
      <c r="G21" s="15"/>
      <c r="H21" s="26"/>
      <c r="I21" s="15"/>
      <c r="J21" s="15"/>
      <c r="K21" s="15"/>
      <c r="L21" s="16"/>
    </row>
    <row r="23" spans="1:12" ht="30" customHeight="1"/>
    <row r="24" spans="1:12" ht="30" customHeight="1">
      <c r="A24" s="10" t="s">
        <v>115</v>
      </c>
      <c r="B24" s="5"/>
    </row>
    <row r="25" spans="1:12" ht="30" customHeight="1">
      <c r="A25" s="11" t="s">
        <v>116</v>
      </c>
      <c r="B25" s="5"/>
      <c r="L25" s="17"/>
    </row>
    <row r="26" spans="1:12" ht="15">
      <c r="A26" s="11" t="s">
        <v>117</v>
      </c>
      <c r="B26" s="5"/>
      <c r="L26" s="32" t="s">
        <v>119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49C29-ABEC-44A6-93EA-C9DD4B075F37}">
  <sheetPr>
    <pageSetUpPr fitToPage="1"/>
  </sheetPr>
  <dimension ref="A1:M46"/>
  <sheetViews>
    <sheetView workbookViewId="0">
      <selection activeCell="G22" sqref="G22"/>
    </sheetView>
    <sheetView workbookViewId="1"/>
    <sheetView workbookViewId="2">
      <selection activeCell="E9" sqref="E9:E12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676</v>
      </c>
      <c r="B1" s="19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56" t="s">
        <v>0</v>
      </c>
      <c r="B8" s="157" t="s">
        <v>15</v>
      </c>
      <c r="C8" s="157" t="s">
        <v>1</v>
      </c>
      <c r="D8" s="156" t="s">
        <v>2</v>
      </c>
      <c r="E8" s="158" t="s">
        <v>9</v>
      </c>
      <c r="F8" s="158" t="s">
        <v>8</v>
      </c>
      <c r="G8" s="157" t="s">
        <v>7</v>
      </c>
      <c r="H8" s="159" t="s">
        <v>3</v>
      </c>
      <c r="I8" s="157" t="s">
        <v>13</v>
      </c>
      <c r="J8" s="157" t="s">
        <v>10</v>
      </c>
      <c r="K8" s="157" t="s">
        <v>11</v>
      </c>
      <c r="L8" s="157" t="s">
        <v>12</v>
      </c>
      <c r="M8" s="1"/>
    </row>
    <row r="9" spans="1:13" ht="25.5">
      <c r="A9" s="213" t="s">
        <v>4</v>
      </c>
      <c r="B9" s="166" t="s">
        <v>687</v>
      </c>
      <c r="C9" s="108" t="s">
        <v>677</v>
      </c>
      <c r="D9" s="108">
        <v>25</v>
      </c>
      <c r="E9" s="167"/>
      <c r="F9" s="167">
        <f>Tabela25[[#This Row],[Ilość]]*Tabela25[[#This Row],[C.j. netto]]</f>
        <v>0</v>
      </c>
      <c r="G9" s="163"/>
      <c r="H9" s="164"/>
      <c r="I9" s="165"/>
      <c r="J9" s="163"/>
      <c r="K9" s="163"/>
      <c r="L9" s="163"/>
    </row>
    <row r="10" spans="1:13" ht="25.5">
      <c r="A10" s="213" t="s">
        <v>5</v>
      </c>
      <c r="B10" s="166" t="s">
        <v>678</v>
      </c>
      <c r="C10" s="108" t="s">
        <v>677</v>
      </c>
      <c r="D10" s="108">
        <v>100</v>
      </c>
      <c r="E10" s="167"/>
      <c r="F10" s="167">
        <f>Tabela25[[#This Row],[Ilość]]*Tabela25[[#This Row],[C.j. netto]]</f>
        <v>0</v>
      </c>
      <c r="G10" s="163"/>
      <c r="H10" s="164"/>
      <c r="I10" s="165"/>
      <c r="J10" s="163"/>
      <c r="K10" s="163"/>
      <c r="L10" s="163"/>
    </row>
    <row r="11" spans="1:13" ht="25.5">
      <c r="A11" s="213" t="s">
        <v>6</v>
      </c>
      <c r="B11" s="166" t="s">
        <v>688</v>
      </c>
      <c r="C11" s="108" t="s">
        <v>677</v>
      </c>
      <c r="D11" s="108">
        <v>35</v>
      </c>
      <c r="E11" s="167"/>
      <c r="F11" s="167">
        <f>Tabela25[[#This Row],[Ilość]]*Tabela25[[#This Row],[C.j. netto]]</f>
        <v>0</v>
      </c>
      <c r="G11" s="163"/>
      <c r="H11" s="164"/>
      <c r="I11" s="165"/>
      <c r="J11" s="163"/>
      <c r="K11" s="163"/>
      <c r="L11" s="163"/>
    </row>
    <row r="12" spans="1:13" ht="25.5">
      <c r="A12" s="213" t="s">
        <v>26</v>
      </c>
      <c r="B12" s="181" t="s">
        <v>1355</v>
      </c>
      <c r="C12" s="108" t="s">
        <v>415</v>
      </c>
      <c r="D12" s="108">
        <v>20</v>
      </c>
      <c r="E12" s="167"/>
      <c r="F12" s="167">
        <f>Tabela25[[#This Row],[Ilość]]*Tabela25[[#This Row],[C.j. netto]]</f>
        <v>0</v>
      </c>
      <c r="G12" s="163"/>
      <c r="H12" s="164"/>
      <c r="I12" s="163"/>
      <c r="J12" s="163"/>
      <c r="K12" s="163"/>
      <c r="L12" s="163"/>
    </row>
    <row r="13" spans="1:13">
      <c r="A13" s="27" t="s">
        <v>118</v>
      </c>
      <c r="B13" s="60"/>
      <c r="E13"/>
      <c r="F13" s="28">
        <f>SUBTOTAL(109,Tabela25[Wartość netto])</f>
        <v>0</v>
      </c>
      <c r="H13" s="24"/>
    </row>
    <row r="14" spans="1:13">
      <c r="A14" s="27"/>
      <c r="B14" s="60"/>
      <c r="E14"/>
      <c r="F14" s="28"/>
      <c r="H14" s="24"/>
    </row>
    <row r="15" spans="1:13" ht="30">
      <c r="A15" s="10" t="s">
        <v>115</v>
      </c>
      <c r="B15" s="5"/>
    </row>
    <row r="16" spans="1:13" ht="15">
      <c r="A16" s="11" t="s">
        <v>116</v>
      </c>
      <c r="B16" s="5"/>
      <c r="L16" s="17"/>
    </row>
    <row r="17" spans="1:12" ht="15">
      <c r="A17" s="11" t="s">
        <v>117</v>
      </c>
      <c r="B17" s="5"/>
      <c r="L17" s="32" t="s">
        <v>119</v>
      </c>
    </row>
    <row r="43" ht="30" customHeight="1"/>
    <row r="44" ht="30" customHeight="1"/>
    <row r="45" ht="30" customHeight="1"/>
    <row r="46" ht="30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48C5-214F-44C2-90DF-84E730C92DD8}">
  <sheetPr>
    <pageSetUpPr fitToPage="1"/>
  </sheetPr>
  <dimension ref="A1:M15"/>
  <sheetViews>
    <sheetView workbookViewId="0">
      <selection activeCell="D10" sqref="D10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689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62.25" customHeight="1">
      <c r="A9" s="214" t="s">
        <v>4</v>
      </c>
      <c r="B9" s="53" t="s">
        <v>1259</v>
      </c>
      <c r="C9" s="50" t="s">
        <v>106</v>
      </c>
      <c r="D9" s="50">
        <v>15</v>
      </c>
      <c r="E9" s="51"/>
      <c r="F9" s="51">
        <f>Tabela26[[#This Row],[Ilość]]*Tabela26[[#This Row],[C.j. netto]]</f>
        <v>0</v>
      </c>
      <c r="G9" s="37"/>
      <c r="H9" s="38"/>
      <c r="I9" s="37"/>
      <c r="J9" s="37"/>
      <c r="K9" s="37"/>
      <c r="L9" s="39"/>
    </row>
    <row r="10" spans="1:13">
      <c r="A10" s="13" t="s">
        <v>118</v>
      </c>
      <c r="B10" s="58"/>
      <c r="C10" s="26"/>
      <c r="D10" s="26"/>
      <c r="E10" s="15"/>
      <c r="F10" s="31">
        <f>SUBTOTAL(109,Tabela26[Wartość netto])</f>
        <v>0</v>
      </c>
      <c r="G10" s="15"/>
      <c r="H10" s="26"/>
      <c r="I10" s="15"/>
      <c r="J10" s="15"/>
      <c r="K10" s="15"/>
      <c r="L10" s="16"/>
    </row>
    <row r="12" spans="1:13" ht="30" customHeight="1"/>
    <row r="13" spans="1:13" ht="30" customHeight="1">
      <c r="A13" s="10" t="s">
        <v>115</v>
      </c>
      <c r="B13" s="5"/>
    </row>
    <row r="14" spans="1:13" ht="30" customHeight="1">
      <c r="A14" s="11" t="s">
        <v>116</v>
      </c>
      <c r="B14" s="5"/>
      <c r="L14" s="17"/>
    </row>
    <row r="15" spans="1:13" ht="15">
      <c r="A15" s="11" t="s">
        <v>117</v>
      </c>
      <c r="B15" s="5"/>
      <c r="L15" s="32" t="s">
        <v>119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0B74F-A9F8-41DC-949A-225BF0DDDAE6}">
  <sheetPr>
    <pageSetUpPr fitToPage="1"/>
  </sheetPr>
  <dimension ref="A1:M58"/>
  <sheetViews>
    <sheetView workbookViewId="0">
      <selection activeCell="I51" sqref="I51"/>
    </sheetView>
    <sheetView workbookViewId="1"/>
    <sheetView workbookViewId="2">
      <selection activeCell="E9" sqref="E9:E40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690</v>
      </c>
      <c r="B1" s="19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56" t="s">
        <v>0</v>
      </c>
      <c r="B8" s="157" t="s">
        <v>15</v>
      </c>
      <c r="C8" s="157" t="s">
        <v>1</v>
      </c>
      <c r="D8" s="156" t="s">
        <v>2</v>
      </c>
      <c r="E8" s="158" t="s">
        <v>9</v>
      </c>
      <c r="F8" s="158" t="s">
        <v>8</v>
      </c>
      <c r="G8" s="157" t="s">
        <v>7</v>
      </c>
      <c r="H8" s="159" t="s">
        <v>3</v>
      </c>
      <c r="I8" s="157" t="s">
        <v>13</v>
      </c>
      <c r="J8" s="157" t="s">
        <v>10</v>
      </c>
      <c r="K8" s="157" t="s">
        <v>11</v>
      </c>
      <c r="L8" s="157" t="s">
        <v>12</v>
      </c>
      <c r="M8" s="1"/>
    </row>
    <row r="9" spans="1:13">
      <c r="A9" s="213" t="s">
        <v>4</v>
      </c>
      <c r="B9" s="166" t="s">
        <v>691</v>
      </c>
      <c r="C9" s="108" t="s">
        <v>29</v>
      </c>
      <c r="D9" s="108">
        <v>7</v>
      </c>
      <c r="E9" s="168"/>
      <c r="F9" s="168">
        <f>Tabela27[[#This Row],[Ilość]]*Tabela27[[#This Row],[C.j. netto]]</f>
        <v>0</v>
      </c>
      <c r="G9" s="109"/>
      <c r="H9" s="169"/>
      <c r="I9" s="109"/>
      <c r="J9" s="109"/>
      <c r="K9" s="109"/>
      <c r="L9" s="109"/>
    </row>
    <row r="10" spans="1:13">
      <c r="A10" s="213" t="s">
        <v>5</v>
      </c>
      <c r="B10" s="166" t="s">
        <v>692</v>
      </c>
      <c r="C10" s="108" t="s">
        <v>29</v>
      </c>
      <c r="D10" s="108">
        <v>5</v>
      </c>
      <c r="E10" s="168"/>
      <c r="F10" s="168">
        <f>Tabela27[[#This Row],[Ilość]]*Tabela27[[#This Row],[C.j. netto]]</f>
        <v>0</v>
      </c>
      <c r="G10" s="109"/>
      <c r="H10" s="169"/>
      <c r="I10" s="109"/>
      <c r="J10" s="109"/>
      <c r="K10" s="109"/>
      <c r="L10" s="109"/>
    </row>
    <row r="11" spans="1:13" ht="25.5">
      <c r="A11" s="213" t="s">
        <v>6</v>
      </c>
      <c r="B11" s="166" t="s">
        <v>693</v>
      </c>
      <c r="C11" s="108" t="s">
        <v>29</v>
      </c>
      <c r="D11" s="108">
        <v>20</v>
      </c>
      <c r="E11" s="168"/>
      <c r="F11" s="168">
        <f>Tabela27[[#This Row],[Ilość]]*Tabela27[[#This Row],[C.j. netto]]</f>
        <v>0</v>
      </c>
      <c r="G11" s="109"/>
      <c r="H11" s="169"/>
      <c r="I11" s="109"/>
      <c r="J11" s="109"/>
      <c r="K11" s="109"/>
      <c r="L11" s="109"/>
    </row>
    <row r="12" spans="1:13">
      <c r="A12" s="213" t="s">
        <v>26</v>
      </c>
      <c r="B12" s="166" t="s">
        <v>694</v>
      </c>
      <c r="C12" s="108" t="s">
        <v>29</v>
      </c>
      <c r="D12" s="108">
        <v>10</v>
      </c>
      <c r="E12" s="168"/>
      <c r="F12" s="168">
        <f>Tabela27[[#This Row],[Ilość]]*Tabela27[[#This Row],[C.j. netto]]</f>
        <v>0</v>
      </c>
      <c r="G12" s="109"/>
      <c r="H12" s="169"/>
      <c r="I12" s="109"/>
      <c r="J12" s="109"/>
      <c r="K12" s="109"/>
      <c r="L12" s="109"/>
    </row>
    <row r="13" spans="1:13">
      <c r="A13" s="213" t="s">
        <v>27</v>
      </c>
      <c r="B13" s="166" t="s">
        <v>695</v>
      </c>
      <c r="C13" s="108" t="s">
        <v>696</v>
      </c>
      <c r="D13" s="108">
        <v>8</v>
      </c>
      <c r="E13" s="168"/>
      <c r="F13" s="168">
        <f>Tabela27[[#This Row],[Ilość]]*Tabela27[[#This Row],[C.j. netto]]</f>
        <v>0</v>
      </c>
      <c r="G13" s="109"/>
      <c r="H13" s="169"/>
      <c r="I13" s="109"/>
      <c r="J13" s="109"/>
      <c r="K13" s="109"/>
      <c r="L13" s="109"/>
    </row>
    <row r="14" spans="1:13">
      <c r="A14" s="213" t="s">
        <v>32</v>
      </c>
      <c r="B14" s="166" t="s">
        <v>697</v>
      </c>
      <c r="C14" s="108" t="s">
        <v>29</v>
      </c>
      <c r="D14" s="108">
        <v>600</v>
      </c>
      <c r="E14" s="168"/>
      <c r="F14" s="168">
        <f>Tabela27[[#This Row],[Ilość]]*Tabela27[[#This Row],[C.j. netto]]</f>
        <v>0</v>
      </c>
      <c r="G14" s="109"/>
      <c r="H14" s="169"/>
      <c r="I14" s="109"/>
      <c r="J14" s="109"/>
      <c r="K14" s="109"/>
      <c r="L14" s="109"/>
    </row>
    <row r="15" spans="1:13">
      <c r="A15" s="213" t="s">
        <v>34</v>
      </c>
      <c r="B15" s="166" t="s">
        <v>698</v>
      </c>
      <c r="C15" s="108" t="s">
        <v>29</v>
      </c>
      <c r="D15" s="108">
        <v>12</v>
      </c>
      <c r="E15" s="168"/>
      <c r="F15" s="168">
        <f>Tabela27[[#This Row],[Ilość]]*Tabela27[[#This Row],[C.j. netto]]</f>
        <v>0</v>
      </c>
      <c r="G15" s="109"/>
      <c r="H15" s="169"/>
      <c r="I15" s="109"/>
      <c r="J15" s="109"/>
      <c r="K15" s="109"/>
      <c r="L15" s="109"/>
    </row>
    <row r="16" spans="1:13">
      <c r="A16" s="213" t="s">
        <v>36</v>
      </c>
      <c r="B16" s="166" t="s">
        <v>699</v>
      </c>
      <c r="C16" s="108" t="s">
        <v>29</v>
      </c>
      <c r="D16" s="108">
        <v>36</v>
      </c>
      <c r="E16" s="168"/>
      <c r="F16" s="168">
        <f>Tabela27[[#This Row],[Ilość]]*Tabela27[[#This Row],[C.j. netto]]</f>
        <v>0</v>
      </c>
      <c r="G16" s="109"/>
      <c r="H16" s="169"/>
      <c r="I16" s="109"/>
      <c r="J16" s="109"/>
      <c r="K16" s="109"/>
      <c r="L16" s="109"/>
    </row>
    <row r="17" spans="1:12">
      <c r="A17" s="213" t="s">
        <v>38</v>
      </c>
      <c r="B17" s="166" t="s">
        <v>700</v>
      </c>
      <c r="C17" s="108" t="s">
        <v>29</v>
      </c>
      <c r="D17" s="108">
        <v>30</v>
      </c>
      <c r="E17" s="168"/>
      <c r="F17" s="168">
        <f>Tabela27[[#This Row],[Ilość]]*Tabela27[[#This Row],[C.j. netto]]</f>
        <v>0</v>
      </c>
      <c r="G17" s="109"/>
      <c r="H17" s="169"/>
      <c r="I17" s="109"/>
      <c r="J17" s="109"/>
      <c r="K17" s="109"/>
      <c r="L17" s="109"/>
    </row>
    <row r="18" spans="1:12">
      <c r="A18" s="213" t="s">
        <v>40</v>
      </c>
      <c r="B18" s="166" t="s">
        <v>1349</v>
      </c>
      <c r="C18" s="108" t="s">
        <v>29</v>
      </c>
      <c r="D18" s="108">
        <v>10</v>
      </c>
      <c r="E18" s="168"/>
      <c r="F18" s="168">
        <f>Tabela27[[#This Row],[Ilość]]*Tabela27[[#This Row],[C.j. netto]]</f>
        <v>0</v>
      </c>
      <c r="G18" s="109"/>
      <c r="H18" s="169"/>
      <c r="I18" s="109"/>
      <c r="J18" s="109"/>
      <c r="K18" s="109"/>
      <c r="L18" s="109"/>
    </row>
    <row r="19" spans="1:12">
      <c r="A19" s="213" t="s">
        <v>42</v>
      </c>
      <c r="B19" s="166" t="s">
        <v>701</v>
      </c>
      <c r="C19" s="108" t="s">
        <v>29</v>
      </c>
      <c r="D19" s="108">
        <v>5</v>
      </c>
      <c r="E19" s="168"/>
      <c r="F19" s="168">
        <f>Tabela27[[#This Row],[Ilość]]*Tabela27[[#This Row],[C.j. netto]]</f>
        <v>0</v>
      </c>
      <c r="G19" s="109"/>
      <c r="H19" s="169"/>
      <c r="I19" s="109"/>
      <c r="J19" s="109"/>
      <c r="K19" s="109"/>
      <c r="L19" s="109"/>
    </row>
    <row r="20" spans="1:12">
      <c r="A20" s="213" t="s">
        <v>45</v>
      </c>
      <c r="B20" s="166" t="s">
        <v>702</v>
      </c>
      <c r="C20" s="108" t="s">
        <v>29</v>
      </c>
      <c r="D20" s="108">
        <v>80</v>
      </c>
      <c r="E20" s="168"/>
      <c r="F20" s="168">
        <f>Tabela27[[#This Row],[Ilość]]*Tabela27[[#This Row],[C.j. netto]]</f>
        <v>0</v>
      </c>
      <c r="G20" s="109"/>
      <c r="H20" s="169"/>
      <c r="I20" s="109"/>
      <c r="J20" s="109"/>
      <c r="K20" s="109"/>
      <c r="L20" s="109"/>
    </row>
    <row r="21" spans="1:12">
      <c r="A21" s="213" t="s">
        <v>47</v>
      </c>
      <c r="B21" s="166" t="s">
        <v>703</v>
      </c>
      <c r="C21" s="108" t="s">
        <v>29</v>
      </c>
      <c r="D21" s="108">
        <v>30</v>
      </c>
      <c r="E21" s="168"/>
      <c r="F21" s="168">
        <f>Tabela27[[#This Row],[Ilość]]*Tabela27[[#This Row],[C.j. netto]]</f>
        <v>0</v>
      </c>
      <c r="G21" s="109"/>
      <c r="H21" s="169"/>
      <c r="I21" s="109"/>
      <c r="J21" s="109"/>
      <c r="K21" s="109"/>
      <c r="L21" s="109"/>
    </row>
    <row r="22" spans="1:12">
      <c r="A22" s="213" t="s">
        <v>48</v>
      </c>
      <c r="B22" s="166" t="s">
        <v>704</v>
      </c>
      <c r="C22" s="108" t="s">
        <v>29</v>
      </c>
      <c r="D22" s="108">
        <v>20</v>
      </c>
      <c r="E22" s="168"/>
      <c r="F22" s="168">
        <f>Tabela27[[#This Row],[Ilość]]*Tabela27[[#This Row],[C.j. netto]]</f>
        <v>0</v>
      </c>
      <c r="G22" s="109"/>
      <c r="H22" s="169"/>
      <c r="I22" s="109"/>
      <c r="J22" s="109"/>
      <c r="K22" s="109"/>
      <c r="L22" s="109"/>
    </row>
    <row r="23" spans="1:12">
      <c r="A23" s="213" t="s">
        <v>49</v>
      </c>
      <c r="B23" s="166" t="s">
        <v>705</v>
      </c>
      <c r="C23" s="108" t="s">
        <v>29</v>
      </c>
      <c r="D23" s="108">
        <v>50</v>
      </c>
      <c r="E23" s="168"/>
      <c r="F23" s="168">
        <f>Tabela27[[#This Row],[Ilość]]*Tabela27[[#This Row],[C.j. netto]]</f>
        <v>0</v>
      </c>
      <c r="G23" s="109"/>
      <c r="H23" s="169"/>
      <c r="I23" s="109"/>
      <c r="J23" s="109"/>
      <c r="K23" s="109"/>
      <c r="L23" s="109"/>
    </row>
    <row r="24" spans="1:12">
      <c r="A24" s="213" t="s">
        <v>50</v>
      </c>
      <c r="B24" s="166" t="s">
        <v>706</v>
      </c>
      <c r="C24" s="108" t="s">
        <v>282</v>
      </c>
      <c r="D24" s="108">
        <v>10</v>
      </c>
      <c r="E24" s="168"/>
      <c r="F24" s="168">
        <f>Tabela27[[#This Row],[Ilość]]*Tabela27[[#This Row],[C.j. netto]]</f>
        <v>0</v>
      </c>
      <c r="G24" s="109"/>
      <c r="H24" s="169"/>
      <c r="I24" s="109"/>
      <c r="J24" s="109"/>
      <c r="K24" s="109"/>
      <c r="L24" s="109"/>
    </row>
    <row r="25" spans="1:12">
      <c r="A25" s="213" t="s">
        <v>52</v>
      </c>
      <c r="B25" s="166" t="s">
        <v>707</v>
      </c>
      <c r="C25" s="108" t="s">
        <v>29</v>
      </c>
      <c r="D25" s="108">
        <v>15</v>
      </c>
      <c r="E25" s="168"/>
      <c r="F25" s="168">
        <f>Tabela27[[#This Row],[Ilość]]*Tabela27[[#This Row],[C.j. netto]]</f>
        <v>0</v>
      </c>
      <c r="G25" s="109"/>
      <c r="H25" s="169"/>
      <c r="I25" s="109"/>
      <c r="J25" s="109"/>
      <c r="K25" s="109"/>
      <c r="L25" s="109"/>
    </row>
    <row r="26" spans="1:12" ht="25.5">
      <c r="A26" s="213" t="s">
        <v>54</v>
      </c>
      <c r="B26" s="166" t="s">
        <v>709</v>
      </c>
      <c r="C26" s="108" t="s">
        <v>29</v>
      </c>
      <c r="D26" s="108">
        <v>8</v>
      </c>
      <c r="E26" s="168"/>
      <c r="F26" s="168">
        <f>Tabela27[[#This Row],[Ilość]]*Tabela27[[#This Row],[C.j. netto]]</f>
        <v>0</v>
      </c>
      <c r="G26" s="109"/>
      <c r="H26" s="169"/>
      <c r="I26" s="109"/>
      <c r="J26" s="109"/>
      <c r="K26" s="109"/>
      <c r="L26" s="109"/>
    </row>
    <row r="27" spans="1:12">
      <c r="A27" s="213" t="s">
        <v>56</v>
      </c>
      <c r="B27" s="166" t="s">
        <v>710</v>
      </c>
      <c r="C27" s="108" t="s">
        <v>29</v>
      </c>
      <c r="D27" s="108">
        <v>30</v>
      </c>
      <c r="E27" s="168"/>
      <c r="F27" s="168">
        <f>Tabela27[[#This Row],[Ilość]]*Tabela27[[#This Row],[C.j. netto]]</f>
        <v>0</v>
      </c>
      <c r="G27" s="109"/>
      <c r="H27" s="169"/>
      <c r="I27" s="109"/>
      <c r="J27" s="109"/>
      <c r="K27" s="109"/>
      <c r="L27" s="109"/>
    </row>
    <row r="28" spans="1:12" ht="25.5">
      <c r="A28" s="213" t="s">
        <v>57</v>
      </c>
      <c r="B28" s="166" t="s">
        <v>711</v>
      </c>
      <c r="C28" s="108" t="s">
        <v>29</v>
      </c>
      <c r="D28" s="108">
        <v>800</v>
      </c>
      <c r="E28" s="168"/>
      <c r="F28" s="168">
        <f>Tabela27[[#This Row],[Ilość]]*Tabela27[[#This Row],[C.j. netto]]</f>
        <v>0</v>
      </c>
      <c r="G28" s="109"/>
      <c r="H28" s="169"/>
      <c r="I28" s="109"/>
      <c r="J28" s="109"/>
      <c r="K28" s="109"/>
      <c r="L28" s="109"/>
    </row>
    <row r="29" spans="1:12" ht="25.5">
      <c r="A29" s="213" t="s">
        <v>59</v>
      </c>
      <c r="B29" s="166" t="s">
        <v>712</v>
      </c>
      <c r="C29" s="108" t="s">
        <v>29</v>
      </c>
      <c r="D29" s="108">
        <v>5</v>
      </c>
      <c r="E29" s="168"/>
      <c r="F29" s="168">
        <f>Tabela27[[#This Row],[Ilość]]*Tabela27[[#This Row],[C.j. netto]]</f>
        <v>0</v>
      </c>
      <c r="G29" s="109"/>
      <c r="H29" s="169"/>
      <c r="I29" s="109"/>
      <c r="J29" s="109"/>
      <c r="K29" s="109"/>
      <c r="L29" s="109"/>
    </row>
    <row r="30" spans="1:12" ht="25.5">
      <c r="A30" s="213" t="s">
        <v>61</v>
      </c>
      <c r="B30" s="166" t="s">
        <v>713</v>
      </c>
      <c r="C30" s="108" t="s">
        <v>29</v>
      </c>
      <c r="D30" s="108">
        <v>800</v>
      </c>
      <c r="E30" s="168"/>
      <c r="F30" s="168">
        <f>Tabela27[[#This Row],[Ilość]]*Tabela27[[#This Row],[C.j. netto]]</f>
        <v>0</v>
      </c>
      <c r="G30" s="109"/>
      <c r="H30" s="169"/>
      <c r="I30" s="109"/>
      <c r="J30" s="109"/>
      <c r="K30" s="109"/>
      <c r="L30" s="109"/>
    </row>
    <row r="31" spans="1:12" ht="25.5">
      <c r="A31" s="213" t="s">
        <v>63</v>
      </c>
      <c r="B31" s="166" t="s">
        <v>714</v>
      </c>
      <c r="C31" s="108" t="s">
        <v>29</v>
      </c>
      <c r="D31" s="108">
        <v>40</v>
      </c>
      <c r="E31" s="168"/>
      <c r="F31" s="168">
        <f>Tabela27[[#This Row],[Ilość]]*Tabela27[[#This Row],[C.j. netto]]</f>
        <v>0</v>
      </c>
      <c r="G31" s="109"/>
      <c r="H31" s="169"/>
      <c r="I31" s="109"/>
      <c r="J31" s="109"/>
      <c r="K31" s="109"/>
      <c r="L31" s="109"/>
    </row>
    <row r="32" spans="1:12">
      <c r="A32" s="213" t="s">
        <v>65</v>
      </c>
      <c r="B32" s="166" t="s">
        <v>1256</v>
      </c>
      <c r="C32" s="108" t="s">
        <v>29</v>
      </c>
      <c r="D32" s="108">
        <v>25</v>
      </c>
      <c r="E32" s="168"/>
      <c r="F32" s="168">
        <f>Tabela27[[#This Row],[Ilość]]*Tabela27[[#This Row],[C.j. netto]]</f>
        <v>0</v>
      </c>
      <c r="G32" s="109"/>
      <c r="H32" s="169"/>
      <c r="I32" s="109"/>
      <c r="J32" s="109"/>
      <c r="K32" s="109"/>
      <c r="L32" s="109"/>
    </row>
    <row r="33" spans="1:12" ht="25.5">
      <c r="A33" s="213" t="s">
        <v>67</v>
      </c>
      <c r="B33" s="166" t="s">
        <v>715</v>
      </c>
      <c r="C33" s="108" t="s">
        <v>29</v>
      </c>
      <c r="D33" s="108">
        <v>10</v>
      </c>
      <c r="E33" s="168"/>
      <c r="F33" s="168">
        <f>Tabela27[[#This Row],[Ilość]]*Tabela27[[#This Row],[C.j. netto]]</f>
        <v>0</v>
      </c>
      <c r="G33" s="109"/>
      <c r="H33" s="169"/>
      <c r="I33" s="109"/>
      <c r="J33" s="109"/>
      <c r="K33" s="109"/>
      <c r="L33" s="109"/>
    </row>
    <row r="34" spans="1:12" ht="25.5">
      <c r="A34" s="213" t="s">
        <v>69</v>
      </c>
      <c r="B34" s="166" t="s">
        <v>716</v>
      </c>
      <c r="C34" s="108" t="s">
        <v>29</v>
      </c>
      <c r="D34" s="108">
        <v>5</v>
      </c>
      <c r="E34" s="168"/>
      <c r="F34" s="168">
        <f>Tabela27[[#This Row],[Ilość]]*Tabela27[[#This Row],[C.j. netto]]</f>
        <v>0</v>
      </c>
      <c r="G34" s="109"/>
      <c r="H34" s="169"/>
      <c r="I34" s="109"/>
      <c r="J34" s="109"/>
      <c r="K34" s="109"/>
      <c r="L34" s="109"/>
    </row>
    <row r="35" spans="1:12" ht="25.5">
      <c r="A35" s="213" t="s">
        <v>71</v>
      </c>
      <c r="B35" s="170" t="s">
        <v>1168</v>
      </c>
      <c r="C35" s="171" t="s">
        <v>16</v>
      </c>
      <c r="D35" s="171">
        <v>30</v>
      </c>
      <c r="E35" s="172"/>
      <c r="F35" s="168">
        <f>Tabela27[[#This Row],[Ilość]]*Tabela27[[#This Row],[C.j. netto]]</f>
        <v>0</v>
      </c>
      <c r="G35" s="109"/>
      <c r="H35" s="169"/>
      <c r="I35" s="109"/>
      <c r="J35" s="109"/>
      <c r="K35" s="109"/>
      <c r="L35" s="109"/>
    </row>
    <row r="36" spans="1:12" ht="25.5">
      <c r="A36" s="213" t="s">
        <v>73</v>
      </c>
      <c r="B36" s="170" t="s">
        <v>1169</v>
      </c>
      <c r="C36" s="171" t="s">
        <v>16</v>
      </c>
      <c r="D36" s="171">
        <v>15</v>
      </c>
      <c r="E36" s="172"/>
      <c r="F36" s="168">
        <f>Tabela27[[#This Row],[Ilość]]*Tabela27[[#This Row],[C.j. netto]]</f>
        <v>0</v>
      </c>
      <c r="G36" s="109"/>
      <c r="H36" s="169"/>
      <c r="I36" s="109"/>
      <c r="J36" s="109"/>
      <c r="K36" s="109"/>
      <c r="L36" s="109"/>
    </row>
    <row r="37" spans="1:12" ht="25.5">
      <c r="A37" s="213" t="s">
        <v>75</v>
      </c>
      <c r="B37" s="170" t="s">
        <v>1170</v>
      </c>
      <c r="C37" s="171" t="s">
        <v>16</v>
      </c>
      <c r="D37" s="171">
        <v>10</v>
      </c>
      <c r="E37" s="172"/>
      <c r="F37" s="168">
        <f>Tabela27[[#This Row],[Ilość]]*Tabela27[[#This Row],[C.j. netto]]</f>
        <v>0</v>
      </c>
      <c r="G37" s="109"/>
      <c r="H37" s="169"/>
      <c r="I37" s="109"/>
      <c r="J37" s="109"/>
      <c r="K37" s="109"/>
      <c r="L37" s="109"/>
    </row>
    <row r="38" spans="1:12" ht="25.5">
      <c r="A38" s="213" t="s">
        <v>77</v>
      </c>
      <c r="B38" s="170" t="s">
        <v>1173</v>
      </c>
      <c r="C38" s="171" t="s">
        <v>16</v>
      </c>
      <c r="D38" s="171">
        <v>100</v>
      </c>
      <c r="E38" s="172"/>
      <c r="F38" s="173">
        <f>Tabela27[[#This Row],[Ilość]]*Tabela27[[#This Row],[C.j. netto]]</f>
        <v>0</v>
      </c>
      <c r="G38" s="109"/>
      <c r="H38" s="169"/>
      <c r="I38" s="109"/>
      <c r="J38" s="109"/>
      <c r="K38" s="109"/>
      <c r="L38" s="109"/>
    </row>
    <row r="39" spans="1:12">
      <c r="A39" s="213" t="s">
        <v>79</v>
      </c>
      <c r="B39" s="170" t="s">
        <v>1174</v>
      </c>
      <c r="C39" s="171" t="s">
        <v>16</v>
      </c>
      <c r="D39" s="171">
        <v>70</v>
      </c>
      <c r="E39" s="172"/>
      <c r="F39" s="173">
        <f>Tabela27[[#This Row],[Ilość]]*Tabela27[[#This Row],[C.j. netto]]</f>
        <v>0</v>
      </c>
      <c r="G39" s="109"/>
      <c r="H39" s="169"/>
      <c r="I39" s="109"/>
      <c r="J39" s="109"/>
      <c r="K39" s="109"/>
      <c r="L39" s="109"/>
    </row>
    <row r="40" spans="1:12">
      <c r="A40" s="213" t="s">
        <v>81</v>
      </c>
      <c r="B40" s="110" t="s">
        <v>1176</v>
      </c>
      <c r="C40" s="108" t="s">
        <v>1177</v>
      </c>
      <c r="D40" s="108">
        <v>35</v>
      </c>
      <c r="E40" s="168"/>
      <c r="F40" s="173">
        <f>Tabela27[[#This Row],[Ilość]]*Tabela27[[#This Row],[C.j. netto]]</f>
        <v>0</v>
      </c>
      <c r="G40" s="109"/>
      <c r="H40" s="169"/>
      <c r="I40" s="109"/>
      <c r="J40" s="109"/>
      <c r="K40" s="109"/>
      <c r="L40" s="109"/>
    </row>
    <row r="41" spans="1:12">
      <c r="A41" s="27" t="s">
        <v>118</v>
      </c>
      <c r="B41" s="60"/>
      <c r="E41"/>
      <c r="F41" s="28">
        <f>SUBTOTAL(109,Tabela27[Wartość netto])</f>
        <v>0</v>
      </c>
      <c r="H41" s="24"/>
    </row>
    <row r="42" spans="1:12">
      <c r="A42" s="27"/>
      <c r="B42" s="60"/>
      <c r="E42"/>
      <c r="F42" s="28"/>
      <c r="H42" s="24"/>
    </row>
    <row r="43" spans="1:12">
      <c r="A43" s="27"/>
      <c r="B43" s="60"/>
      <c r="E43"/>
      <c r="F43" s="28"/>
      <c r="H43" s="24"/>
    </row>
    <row r="44" spans="1:12">
      <c r="A44" s="27"/>
      <c r="B44" s="60"/>
      <c r="E44"/>
      <c r="F44" s="28"/>
      <c r="H44" s="24"/>
    </row>
    <row r="45" spans="1:12" ht="30">
      <c r="A45" s="10" t="s">
        <v>115</v>
      </c>
      <c r="B45" s="5"/>
    </row>
    <row r="46" spans="1:12" ht="15">
      <c r="A46" s="11" t="s">
        <v>116</v>
      </c>
      <c r="B46" s="5"/>
      <c r="L46" s="17"/>
    </row>
    <row r="47" spans="1:12" ht="15">
      <c r="A47" s="11" t="s">
        <v>117</v>
      </c>
      <c r="B47" s="5"/>
      <c r="L47" s="32" t="s">
        <v>119</v>
      </c>
    </row>
    <row r="55" ht="30" customHeight="1"/>
    <row r="56" ht="30" customHeight="1"/>
    <row r="57" ht="30" customHeight="1"/>
    <row r="58" ht="30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82368-50F2-4959-93F6-2329883A9082}">
  <sheetPr>
    <pageSetUpPr fitToPage="1"/>
  </sheetPr>
  <dimension ref="A1:M64"/>
  <sheetViews>
    <sheetView workbookViewId="0">
      <selection activeCell="I4" sqref="I4"/>
    </sheetView>
    <sheetView topLeftCell="A8" workbookViewId="1">
      <selection activeCell="I34" sqref="I34"/>
    </sheetView>
    <sheetView workbookViewId="2">
      <selection activeCell="E9" sqref="E9:E59"/>
    </sheetView>
  </sheetViews>
  <sheetFormatPr defaultRowHeight="14.25"/>
  <cols>
    <col min="1" max="1" width="14.125" customWidth="1"/>
    <col min="2" max="2" width="52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717</v>
      </c>
      <c r="B1" s="20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56" t="s">
        <v>0</v>
      </c>
      <c r="B8" s="157" t="s">
        <v>15</v>
      </c>
      <c r="C8" s="157" t="s">
        <v>1</v>
      </c>
      <c r="D8" s="156" t="s">
        <v>2</v>
      </c>
      <c r="E8" s="158" t="s">
        <v>9</v>
      </c>
      <c r="F8" s="158" t="s">
        <v>8</v>
      </c>
      <c r="G8" s="157" t="s">
        <v>7</v>
      </c>
      <c r="H8" s="159" t="s">
        <v>3</v>
      </c>
      <c r="I8" s="157" t="s">
        <v>13</v>
      </c>
      <c r="J8" s="157" t="s">
        <v>10</v>
      </c>
      <c r="K8" s="157" t="s">
        <v>11</v>
      </c>
      <c r="L8" s="157" t="s">
        <v>12</v>
      </c>
      <c r="M8" s="1"/>
    </row>
    <row r="9" spans="1:13">
      <c r="A9" s="217" t="s">
        <v>4</v>
      </c>
      <c r="B9" s="160" t="s">
        <v>718</v>
      </c>
      <c r="C9" s="161" t="s">
        <v>29</v>
      </c>
      <c r="D9" s="108">
        <v>3</v>
      </c>
      <c r="E9" s="162"/>
      <c r="F9" s="162">
        <f>Tabela28[[#This Row],[Ilość]]*Tabela28[[#This Row],[C.j. netto]]</f>
        <v>0</v>
      </c>
      <c r="G9" s="163"/>
      <c r="H9" s="164"/>
      <c r="I9" s="163"/>
      <c r="J9" s="163"/>
      <c r="K9" s="163"/>
      <c r="L9" s="163"/>
    </row>
    <row r="10" spans="1:13">
      <c r="A10" s="217" t="s">
        <v>5</v>
      </c>
      <c r="B10" s="160" t="s">
        <v>719</v>
      </c>
      <c r="C10" s="161" t="s">
        <v>29</v>
      </c>
      <c r="D10" s="108">
        <v>3</v>
      </c>
      <c r="E10" s="162"/>
      <c r="F10" s="162">
        <f>Tabela28[[#This Row],[Ilość]]*Tabela28[[#This Row],[C.j. netto]]</f>
        <v>0</v>
      </c>
      <c r="G10" s="163"/>
      <c r="H10" s="164"/>
      <c r="I10" s="165"/>
      <c r="J10" s="163"/>
      <c r="K10" s="163"/>
      <c r="L10" s="163"/>
    </row>
    <row r="11" spans="1:13">
      <c r="A11" s="217" t="s">
        <v>6</v>
      </c>
      <c r="B11" s="160" t="s">
        <v>1184</v>
      </c>
      <c r="C11" s="174" t="s">
        <v>16</v>
      </c>
      <c r="D11" s="174">
        <v>60</v>
      </c>
      <c r="E11" s="175"/>
      <c r="F11" s="162">
        <f>Tabela28[[#This Row],[Ilość]]*Tabela28[[#This Row],[C.j. netto]]</f>
        <v>0</v>
      </c>
      <c r="G11" s="163"/>
      <c r="H11" s="164"/>
      <c r="I11" s="165"/>
      <c r="J11" s="163"/>
      <c r="K11" s="163"/>
      <c r="L11" s="163"/>
    </row>
    <row r="12" spans="1:13">
      <c r="A12" s="217" t="s">
        <v>26</v>
      </c>
      <c r="B12" s="160" t="s">
        <v>1185</v>
      </c>
      <c r="C12" s="174" t="s">
        <v>16</v>
      </c>
      <c r="D12" s="174">
        <v>40</v>
      </c>
      <c r="E12" s="175"/>
      <c r="F12" s="162">
        <f>Tabela28[[#This Row],[Ilość]]*Tabela28[[#This Row],[C.j. netto]]</f>
        <v>0</v>
      </c>
      <c r="G12" s="163"/>
      <c r="H12" s="164"/>
      <c r="I12" s="165"/>
      <c r="J12" s="163"/>
      <c r="K12" s="163"/>
      <c r="L12" s="163"/>
    </row>
    <row r="13" spans="1:13">
      <c r="A13" s="217" t="s">
        <v>27</v>
      </c>
      <c r="B13" s="160" t="s">
        <v>721</v>
      </c>
      <c r="C13" s="161" t="s">
        <v>16</v>
      </c>
      <c r="D13" s="108">
        <v>130</v>
      </c>
      <c r="E13" s="162"/>
      <c r="F13" s="162">
        <f>Tabela28[[#This Row],[Ilość]]*Tabela28[[#This Row],[C.j. netto]]</f>
        <v>0</v>
      </c>
      <c r="G13" s="163"/>
      <c r="H13" s="164"/>
      <c r="I13" s="163"/>
      <c r="J13" s="163"/>
      <c r="K13" s="163"/>
      <c r="L13" s="163"/>
    </row>
    <row r="14" spans="1:13">
      <c r="A14" s="217" t="s">
        <v>32</v>
      </c>
      <c r="B14" s="160" t="s">
        <v>722</v>
      </c>
      <c r="C14" s="161" t="s">
        <v>29</v>
      </c>
      <c r="D14" s="108">
        <v>30</v>
      </c>
      <c r="E14" s="162"/>
      <c r="F14" s="162">
        <f>Tabela28[[#This Row],[Ilość]]*Tabela28[[#This Row],[C.j. netto]]</f>
        <v>0</v>
      </c>
      <c r="G14" s="163"/>
      <c r="H14" s="164"/>
      <c r="I14" s="163"/>
      <c r="J14" s="163"/>
      <c r="K14" s="163"/>
      <c r="L14" s="163"/>
    </row>
    <row r="15" spans="1:13" ht="25.5">
      <c r="A15" s="217" t="s">
        <v>34</v>
      </c>
      <c r="B15" s="160" t="s">
        <v>720</v>
      </c>
      <c r="C15" s="161" t="s">
        <v>29</v>
      </c>
      <c r="D15" s="108">
        <v>60</v>
      </c>
      <c r="E15" s="162"/>
      <c r="F15" s="162">
        <f>Tabela28[[#This Row],[Ilość]]*Tabela28[[#This Row],[C.j. netto]]</f>
        <v>0</v>
      </c>
      <c r="G15" s="163"/>
      <c r="H15" s="164"/>
      <c r="I15" s="163"/>
      <c r="J15" s="163"/>
      <c r="K15" s="163"/>
      <c r="L15" s="163"/>
    </row>
    <row r="16" spans="1:13">
      <c r="A16" s="217" t="s">
        <v>36</v>
      </c>
      <c r="B16" s="160" t="s">
        <v>723</v>
      </c>
      <c r="C16" s="161" t="s">
        <v>306</v>
      </c>
      <c r="D16" s="108">
        <v>5</v>
      </c>
      <c r="E16" s="162"/>
      <c r="F16" s="162">
        <f>Tabela28[[#This Row],[Ilość]]*Tabela28[[#This Row],[C.j. netto]]</f>
        <v>0</v>
      </c>
      <c r="G16" s="163"/>
      <c r="H16" s="164"/>
      <c r="I16" s="163"/>
      <c r="J16" s="163"/>
      <c r="K16" s="163"/>
      <c r="L16" s="163"/>
    </row>
    <row r="17" spans="1:12">
      <c r="A17" s="217" t="s">
        <v>38</v>
      </c>
      <c r="B17" s="160" t="s">
        <v>724</v>
      </c>
      <c r="C17" s="161" t="s">
        <v>29</v>
      </c>
      <c r="D17" s="108">
        <v>15</v>
      </c>
      <c r="E17" s="162"/>
      <c r="F17" s="162">
        <f>Tabela28[[#This Row],[Ilość]]*Tabela28[[#This Row],[C.j. netto]]</f>
        <v>0</v>
      </c>
      <c r="G17" s="163"/>
      <c r="H17" s="164"/>
      <c r="I17" s="163"/>
      <c r="J17" s="163"/>
      <c r="K17" s="163"/>
      <c r="L17" s="163"/>
    </row>
    <row r="18" spans="1:12">
      <c r="A18" s="217" t="s">
        <v>40</v>
      </c>
      <c r="B18" s="160" t="s">
        <v>725</v>
      </c>
      <c r="C18" s="161" t="s">
        <v>29</v>
      </c>
      <c r="D18" s="108">
        <v>20</v>
      </c>
      <c r="E18" s="162"/>
      <c r="F18" s="162">
        <f>Tabela28[[#This Row],[Ilość]]*Tabela28[[#This Row],[C.j. netto]]</f>
        <v>0</v>
      </c>
      <c r="G18" s="163"/>
      <c r="H18" s="164"/>
      <c r="I18" s="163"/>
      <c r="J18" s="163"/>
      <c r="K18" s="163"/>
      <c r="L18" s="163"/>
    </row>
    <row r="19" spans="1:12">
      <c r="A19" s="217" t="s">
        <v>42</v>
      </c>
      <c r="B19" s="160" t="s">
        <v>726</v>
      </c>
      <c r="C19" s="161" t="s">
        <v>29</v>
      </c>
      <c r="D19" s="108">
        <v>20</v>
      </c>
      <c r="E19" s="162"/>
      <c r="F19" s="162">
        <f>Tabela28[[#This Row],[Ilość]]*Tabela28[[#This Row],[C.j. netto]]</f>
        <v>0</v>
      </c>
      <c r="G19" s="163"/>
      <c r="H19" s="164"/>
      <c r="I19" s="163"/>
      <c r="J19" s="163"/>
      <c r="K19" s="163"/>
      <c r="L19" s="163"/>
    </row>
    <row r="20" spans="1:12">
      <c r="A20" s="217" t="s">
        <v>45</v>
      </c>
      <c r="B20" s="160" t="s">
        <v>727</v>
      </c>
      <c r="C20" s="161" t="s">
        <v>29</v>
      </c>
      <c r="D20" s="108">
        <v>20</v>
      </c>
      <c r="E20" s="162"/>
      <c r="F20" s="162">
        <f>Tabela28[[#This Row],[Ilość]]*Tabela28[[#This Row],[C.j. netto]]</f>
        <v>0</v>
      </c>
      <c r="G20" s="163"/>
      <c r="H20" s="164"/>
      <c r="I20" s="163"/>
      <c r="J20" s="163"/>
      <c r="K20" s="163"/>
      <c r="L20" s="163"/>
    </row>
    <row r="21" spans="1:12">
      <c r="A21" s="217" t="s">
        <v>47</v>
      </c>
      <c r="B21" s="160" t="s">
        <v>758</v>
      </c>
      <c r="C21" s="161" t="s">
        <v>29</v>
      </c>
      <c r="D21" s="108">
        <v>12</v>
      </c>
      <c r="E21" s="162"/>
      <c r="F21" s="162">
        <f>Tabela28[[#This Row],[Ilość]]*Tabela28[[#This Row],[C.j. netto]]</f>
        <v>0</v>
      </c>
      <c r="G21" s="163"/>
      <c r="H21" s="164"/>
      <c r="I21" s="165"/>
      <c r="J21" s="163"/>
      <c r="K21" s="163"/>
      <c r="L21" s="163"/>
    </row>
    <row r="22" spans="1:12">
      <c r="A22" s="217" t="s">
        <v>48</v>
      </c>
      <c r="B22" s="160" t="s">
        <v>759</v>
      </c>
      <c r="C22" s="161" t="s">
        <v>29</v>
      </c>
      <c r="D22" s="108">
        <v>20</v>
      </c>
      <c r="E22" s="162"/>
      <c r="F22" s="162">
        <f>Tabela28[[#This Row],[Ilość]]*Tabela28[[#This Row],[C.j. netto]]</f>
        <v>0</v>
      </c>
      <c r="G22" s="163"/>
      <c r="H22" s="164"/>
      <c r="I22" s="165"/>
      <c r="J22" s="163"/>
      <c r="K22" s="163"/>
      <c r="L22" s="163"/>
    </row>
    <row r="23" spans="1:12">
      <c r="A23" s="217" t="s">
        <v>49</v>
      </c>
      <c r="B23" s="160" t="s">
        <v>760</v>
      </c>
      <c r="C23" s="161" t="s">
        <v>29</v>
      </c>
      <c r="D23" s="108">
        <v>12</v>
      </c>
      <c r="E23" s="162"/>
      <c r="F23" s="162">
        <f>Tabela28[[#This Row],[Ilość]]*Tabela28[[#This Row],[C.j. netto]]</f>
        <v>0</v>
      </c>
      <c r="G23" s="163"/>
      <c r="H23" s="164"/>
      <c r="I23" s="165"/>
      <c r="J23" s="163"/>
      <c r="K23" s="163"/>
      <c r="L23" s="163"/>
    </row>
    <row r="24" spans="1:12">
      <c r="A24" s="217" t="s">
        <v>50</v>
      </c>
      <c r="B24" s="176" t="s">
        <v>1316</v>
      </c>
      <c r="C24" s="174" t="s">
        <v>29</v>
      </c>
      <c r="D24" s="174">
        <v>300</v>
      </c>
      <c r="E24" s="175"/>
      <c r="F24" s="162">
        <f>Tabela28[[#This Row],[Ilość]]*Tabela28[[#This Row],[C.j. netto]]</f>
        <v>0</v>
      </c>
      <c r="G24" s="163"/>
      <c r="H24" s="164"/>
      <c r="I24" s="163"/>
      <c r="J24" s="163"/>
      <c r="K24" s="163"/>
      <c r="L24" s="163"/>
    </row>
    <row r="25" spans="1:12" ht="25.5">
      <c r="A25" s="217" t="s">
        <v>52</v>
      </c>
      <c r="B25" s="160" t="s">
        <v>1246</v>
      </c>
      <c r="C25" s="161" t="s">
        <v>29</v>
      </c>
      <c r="D25" s="108">
        <v>5</v>
      </c>
      <c r="E25" s="162"/>
      <c r="F25" s="162">
        <f>Tabela28[[#This Row],[Ilość]]*Tabela28[[#This Row],[C.j. netto]]</f>
        <v>0</v>
      </c>
      <c r="G25" s="163"/>
      <c r="H25" s="164"/>
      <c r="I25" s="163"/>
      <c r="J25" s="163"/>
      <c r="K25" s="163"/>
      <c r="L25" s="163"/>
    </row>
    <row r="26" spans="1:12">
      <c r="A26" s="217" t="s">
        <v>54</v>
      </c>
      <c r="B26" s="160" t="s">
        <v>729</v>
      </c>
      <c r="C26" s="161" t="s">
        <v>29</v>
      </c>
      <c r="D26" s="108">
        <v>12</v>
      </c>
      <c r="E26" s="162"/>
      <c r="F26" s="162">
        <f>Tabela28[[#This Row],[Ilość]]*Tabela28[[#This Row],[C.j. netto]]</f>
        <v>0</v>
      </c>
      <c r="G26" s="163"/>
      <c r="H26" s="164"/>
      <c r="I26" s="163"/>
      <c r="J26" s="163"/>
      <c r="K26" s="163"/>
      <c r="L26" s="163"/>
    </row>
    <row r="27" spans="1:12">
      <c r="A27" s="217" t="s">
        <v>56</v>
      </c>
      <c r="B27" s="198" t="s">
        <v>730</v>
      </c>
      <c r="C27" s="161" t="s">
        <v>29</v>
      </c>
      <c r="D27" s="108">
        <v>210</v>
      </c>
      <c r="E27" s="162"/>
      <c r="F27" s="162">
        <f>Tabela28[[#This Row],[Ilość]]*Tabela28[[#This Row],[C.j. netto]]</f>
        <v>0</v>
      </c>
      <c r="G27" s="163"/>
      <c r="H27" s="164"/>
      <c r="I27" s="163"/>
      <c r="J27" s="163"/>
      <c r="K27" s="163"/>
      <c r="L27" s="163"/>
    </row>
    <row r="28" spans="1:12">
      <c r="A28" s="217" t="s">
        <v>57</v>
      </c>
      <c r="B28" s="160" t="s">
        <v>731</v>
      </c>
      <c r="C28" s="161" t="s">
        <v>29</v>
      </c>
      <c r="D28" s="108">
        <v>5</v>
      </c>
      <c r="E28" s="162"/>
      <c r="F28" s="162">
        <f>Tabela28[[#This Row],[Ilość]]*Tabela28[[#This Row],[C.j. netto]]</f>
        <v>0</v>
      </c>
      <c r="G28" s="163"/>
      <c r="H28" s="164"/>
      <c r="I28" s="165"/>
      <c r="J28" s="163"/>
      <c r="K28" s="163"/>
      <c r="L28" s="163"/>
    </row>
    <row r="29" spans="1:12">
      <c r="A29" s="217" t="s">
        <v>59</v>
      </c>
      <c r="B29" s="177" t="s">
        <v>1182</v>
      </c>
      <c r="C29" s="174" t="s">
        <v>16</v>
      </c>
      <c r="D29" s="171">
        <v>30</v>
      </c>
      <c r="E29" s="178"/>
      <c r="F29" s="162">
        <f>Tabela28[[#This Row],[Ilość]]*Tabela28[[#This Row],[C.j. netto]]</f>
        <v>0</v>
      </c>
      <c r="G29" s="163"/>
      <c r="H29" s="164"/>
      <c r="I29" s="165"/>
      <c r="J29" s="163"/>
      <c r="K29" s="163"/>
      <c r="L29" s="163"/>
    </row>
    <row r="30" spans="1:12">
      <c r="A30" s="217" t="s">
        <v>61</v>
      </c>
      <c r="B30" s="177" t="s">
        <v>1183</v>
      </c>
      <c r="C30" s="171" t="s">
        <v>16</v>
      </c>
      <c r="D30" s="179">
        <v>30</v>
      </c>
      <c r="E30" s="180"/>
      <c r="F30" s="162">
        <f>Tabela28[[#This Row],[Ilość]]*Tabela28[[#This Row],[C.j. netto]]</f>
        <v>0</v>
      </c>
      <c r="G30" s="163"/>
      <c r="H30" s="164"/>
      <c r="I30" s="165"/>
      <c r="J30" s="163"/>
      <c r="K30" s="163"/>
      <c r="L30" s="163"/>
    </row>
    <row r="31" spans="1:12" ht="25.5">
      <c r="A31" s="217" t="s">
        <v>63</v>
      </c>
      <c r="B31" s="160" t="s">
        <v>734</v>
      </c>
      <c r="C31" s="161" t="s">
        <v>29</v>
      </c>
      <c r="D31" s="108">
        <v>10</v>
      </c>
      <c r="E31" s="162"/>
      <c r="F31" s="162">
        <f>Tabela28[[#This Row],[Ilość]]*Tabela28[[#This Row],[C.j. netto]]</f>
        <v>0</v>
      </c>
      <c r="G31" s="163"/>
      <c r="H31" s="164"/>
      <c r="I31" s="163"/>
      <c r="J31" s="163"/>
      <c r="K31" s="163"/>
      <c r="L31" s="163"/>
    </row>
    <row r="32" spans="1:12">
      <c r="A32" s="217" t="s">
        <v>65</v>
      </c>
      <c r="B32" s="160" t="s">
        <v>732</v>
      </c>
      <c r="C32" s="161" t="s">
        <v>16</v>
      </c>
      <c r="D32" s="108">
        <v>60</v>
      </c>
      <c r="E32" s="162"/>
      <c r="F32" s="162">
        <f>Tabela28[[#This Row],[Ilość]]*Tabela28[[#This Row],[C.j. netto]]</f>
        <v>0</v>
      </c>
      <c r="G32" s="163"/>
      <c r="H32" s="164"/>
      <c r="I32" s="165"/>
      <c r="J32" s="163"/>
      <c r="K32" s="163"/>
      <c r="L32" s="163"/>
    </row>
    <row r="33" spans="1:12" ht="25.5">
      <c r="A33" s="217" t="s">
        <v>67</v>
      </c>
      <c r="B33" s="160" t="s">
        <v>733</v>
      </c>
      <c r="C33" s="161" t="s">
        <v>16</v>
      </c>
      <c r="D33" s="108">
        <v>60</v>
      </c>
      <c r="E33" s="162"/>
      <c r="F33" s="162">
        <f>Tabela28[[#This Row],[Ilość]]*Tabela28[[#This Row],[C.j. netto]]</f>
        <v>0</v>
      </c>
      <c r="G33" s="163"/>
      <c r="H33" s="164"/>
      <c r="I33" s="165"/>
      <c r="J33" s="163"/>
      <c r="K33" s="163"/>
      <c r="L33" s="163"/>
    </row>
    <row r="34" spans="1:12">
      <c r="A34" s="217" t="s">
        <v>69</v>
      </c>
      <c r="B34" s="160" t="s">
        <v>735</v>
      </c>
      <c r="C34" s="161" t="s">
        <v>306</v>
      </c>
      <c r="D34" s="108">
        <v>400</v>
      </c>
      <c r="E34" s="162"/>
      <c r="F34" s="162">
        <f>Tabela28[[#This Row],[Ilość]]*Tabela28[[#This Row],[C.j. netto]]</f>
        <v>0</v>
      </c>
      <c r="G34" s="163"/>
      <c r="H34" s="164"/>
      <c r="I34" s="163"/>
      <c r="J34" s="163"/>
      <c r="K34" s="163"/>
      <c r="L34" s="163"/>
    </row>
    <row r="35" spans="1:12">
      <c r="A35" s="217" t="s">
        <v>71</v>
      </c>
      <c r="B35" s="160" t="s">
        <v>736</v>
      </c>
      <c r="C35" s="161" t="s">
        <v>306</v>
      </c>
      <c r="D35" s="108">
        <v>650</v>
      </c>
      <c r="E35" s="162"/>
      <c r="F35" s="162">
        <f>Tabela28[[#This Row],[Ilość]]*Tabela28[[#This Row],[C.j. netto]]</f>
        <v>0</v>
      </c>
      <c r="G35" s="163"/>
      <c r="H35" s="164"/>
      <c r="I35" s="163"/>
      <c r="J35" s="163"/>
      <c r="K35" s="163"/>
      <c r="L35" s="163"/>
    </row>
    <row r="36" spans="1:12">
      <c r="A36" s="217" t="s">
        <v>73</v>
      </c>
      <c r="B36" s="160" t="s">
        <v>738</v>
      </c>
      <c r="C36" s="161" t="s">
        <v>29</v>
      </c>
      <c r="D36" s="108">
        <v>25</v>
      </c>
      <c r="E36" s="162"/>
      <c r="F36" s="162">
        <f>Tabela28[[#This Row],[Ilość]]*Tabela28[[#This Row],[C.j. netto]]</f>
        <v>0</v>
      </c>
      <c r="G36" s="163"/>
      <c r="H36" s="164"/>
      <c r="I36" s="165"/>
      <c r="J36" s="163"/>
      <c r="K36" s="163"/>
      <c r="L36" s="163"/>
    </row>
    <row r="37" spans="1:12">
      <c r="A37" s="217" t="s">
        <v>75</v>
      </c>
      <c r="B37" s="160" t="s">
        <v>737</v>
      </c>
      <c r="C37" s="161" t="s">
        <v>29</v>
      </c>
      <c r="D37" s="108">
        <v>30</v>
      </c>
      <c r="E37" s="162"/>
      <c r="F37" s="162">
        <f>Tabela28[[#This Row],[Ilość]]*Tabela28[[#This Row],[C.j. netto]]</f>
        <v>0</v>
      </c>
      <c r="G37" s="163"/>
      <c r="H37" s="164"/>
      <c r="I37" s="165"/>
      <c r="J37" s="163"/>
      <c r="K37" s="163"/>
      <c r="L37" s="163"/>
    </row>
    <row r="38" spans="1:12">
      <c r="A38" s="217" t="s">
        <v>77</v>
      </c>
      <c r="B38" s="160" t="s">
        <v>739</v>
      </c>
      <c r="C38" s="161" t="s">
        <v>29</v>
      </c>
      <c r="D38" s="108">
        <v>8</v>
      </c>
      <c r="E38" s="162"/>
      <c r="F38" s="162">
        <f>Tabela28[[#This Row],[Ilość]]*Tabela28[[#This Row],[C.j. netto]]</f>
        <v>0</v>
      </c>
      <c r="G38" s="163"/>
      <c r="H38" s="164"/>
      <c r="I38" s="163"/>
      <c r="J38" s="163"/>
      <c r="K38" s="163"/>
      <c r="L38" s="163"/>
    </row>
    <row r="39" spans="1:12">
      <c r="A39" s="217" t="s">
        <v>79</v>
      </c>
      <c r="B39" s="181" t="s">
        <v>740</v>
      </c>
      <c r="C39" s="161" t="s">
        <v>106</v>
      </c>
      <c r="D39" s="161">
        <v>300</v>
      </c>
      <c r="E39" s="162"/>
      <c r="F39" s="162">
        <f>Tabela28[[#This Row],[Ilość]]*Tabela28[[#This Row],[C.j. netto]]</f>
        <v>0</v>
      </c>
      <c r="G39" s="163"/>
      <c r="H39" s="164"/>
      <c r="I39" s="163"/>
      <c r="J39" s="163"/>
      <c r="K39" s="163"/>
      <c r="L39" s="163"/>
    </row>
    <row r="40" spans="1:12">
      <c r="A40" s="217" t="s">
        <v>81</v>
      </c>
      <c r="B40" s="160" t="s">
        <v>742</v>
      </c>
      <c r="C40" s="161" t="s">
        <v>106</v>
      </c>
      <c r="D40" s="108">
        <v>550</v>
      </c>
      <c r="E40" s="162"/>
      <c r="F40" s="162">
        <f>Tabela28[[#This Row],[Ilość]]*Tabela28[[#This Row],[C.j. netto]]</f>
        <v>0</v>
      </c>
      <c r="G40" s="163"/>
      <c r="H40" s="164"/>
      <c r="I40" s="165"/>
      <c r="J40" s="163"/>
      <c r="K40" s="163"/>
      <c r="L40" s="163"/>
    </row>
    <row r="41" spans="1:12">
      <c r="A41" s="217" t="s">
        <v>83</v>
      </c>
      <c r="B41" s="160" t="s">
        <v>741</v>
      </c>
      <c r="C41" s="161" t="s">
        <v>106</v>
      </c>
      <c r="D41" s="108">
        <v>25</v>
      </c>
      <c r="E41" s="162"/>
      <c r="F41" s="162">
        <f>Tabela28[[#This Row],[Ilość]]*Tabela28[[#This Row],[C.j. netto]]</f>
        <v>0</v>
      </c>
      <c r="G41" s="163"/>
      <c r="H41" s="164"/>
      <c r="I41" s="163"/>
      <c r="J41" s="163"/>
      <c r="K41" s="163"/>
      <c r="L41" s="163"/>
    </row>
    <row r="42" spans="1:12">
      <c r="A42" s="217" t="s">
        <v>84</v>
      </c>
      <c r="B42" s="160" t="s">
        <v>743</v>
      </c>
      <c r="C42" s="161" t="s">
        <v>29</v>
      </c>
      <c r="D42" s="108">
        <v>25</v>
      </c>
      <c r="E42" s="162"/>
      <c r="F42" s="162">
        <f>Tabela28[[#This Row],[Ilość]]*Tabela28[[#This Row],[C.j. netto]]</f>
        <v>0</v>
      </c>
      <c r="G42" s="163"/>
      <c r="H42" s="164"/>
      <c r="I42" s="163"/>
      <c r="J42" s="163"/>
      <c r="K42" s="163"/>
      <c r="L42" s="163"/>
    </row>
    <row r="43" spans="1:12">
      <c r="A43" s="217" t="s">
        <v>86</v>
      </c>
      <c r="B43" s="160" t="s">
        <v>744</v>
      </c>
      <c r="C43" s="161" t="s">
        <v>29</v>
      </c>
      <c r="D43" s="108">
        <v>10</v>
      </c>
      <c r="E43" s="162"/>
      <c r="F43" s="162">
        <f>Tabela28[[#This Row],[Ilość]]*Tabela28[[#This Row],[C.j. netto]]</f>
        <v>0</v>
      </c>
      <c r="G43" s="163"/>
      <c r="H43" s="164"/>
      <c r="I43" s="163"/>
      <c r="J43" s="163"/>
      <c r="K43" s="163"/>
      <c r="L43" s="163"/>
    </row>
    <row r="44" spans="1:12">
      <c r="A44" s="217" t="s">
        <v>88</v>
      </c>
      <c r="B44" s="160" t="s">
        <v>745</v>
      </c>
      <c r="C44" s="161" t="s">
        <v>29</v>
      </c>
      <c r="D44" s="108">
        <v>30</v>
      </c>
      <c r="E44" s="162"/>
      <c r="F44" s="162">
        <f>Tabela28[[#This Row],[Ilość]]*Tabela28[[#This Row],[C.j. netto]]</f>
        <v>0</v>
      </c>
      <c r="G44" s="163"/>
      <c r="H44" s="164"/>
      <c r="I44" s="163"/>
      <c r="J44" s="163"/>
      <c r="K44" s="163"/>
      <c r="L44" s="163"/>
    </row>
    <row r="45" spans="1:12">
      <c r="A45" s="217" t="s">
        <v>89</v>
      </c>
      <c r="B45" s="160" t="s">
        <v>746</v>
      </c>
      <c r="C45" s="161" t="s">
        <v>29</v>
      </c>
      <c r="D45" s="108">
        <v>400</v>
      </c>
      <c r="E45" s="162"/>
      <c r="F45" s="162">
        <f>Tabela28[[#This Row],[Ilość]]*Tabela28[[#This Row],[C.j. netto]]</f>
        <v>0</v>
      </c>
      <c r="G45" s="163"/>
      <c r="H45" s="164"/>
      <c r="I45" s="165"/>
      <c r="J45" s="163"/>
      <c r="K45" s="163"/>
      <c r="L45" s="163"/>
    </row>
    <row r="46" spans="1:12" ht="25.5">
      <c r="A46" s="217" t="s">
        <v>90</v>
      </c>
      <c r="B46" s="160" t="s">
        <v>747</v>
      </c>
      <c r="C46" s="161" t="s">
        <v>29</v>
      </c>
      <c r="D46" s="108">
        <v>25</v>
      </c>
      <c r="E46" s="162"/>
      <c r="F46" s="162">
        <f>Tabela28[[#This Row],[Ilość]]*Tabela28[[#This Row],[C.j. netto]]</f>
        <v>0</v>
      </c>
      <c r="G46" s="163"/>
      <c r="H46" s="164"/>
      <c r="I46" s="163"/>
      <c r="J46" s="163"/>
      <c r="K46" s="163"/>
      <c r="L46" s="163"/>
    </row>
    <row r="47" spans="1:12">
      <c r="A47" s="217" t="s">
        <v>92</v>
      </c>
      <c r="B47" s="160" t="s">
        <v>748</v>
      </c>
      <c r="C47" s="161" t="s">
        <v>29</v>
      </c>
      <c r="D47" s="108">
        <v>3</v>
      </c>
      <c r="E47" s="162"/>
      <c r="F47" s="162">
        <f>Tabela28[[#This Row],[Ilość]]*Tabela28[[#This Row],[C.j. netto]]</f>
        <v>0</v>
      </c>
      <c r="G47" s="163"/>
      <c r="H47" s="164"/>
      <c r="I47" s="163"/>
      <c r="J47" s="163"/>
      <c r="K47" s="163"/>
      <c r="L47" s="163"/>
    </row>
    <row r="48" spans="1:12">
      <c r="A48" s="217" t="s">
        <v>94</v>
      </c>
      <c r="B48" s="160" t="s">
        <v>749</v>
      </c>
      <c r="C48" s="161" t="s">
        <v>29</v>
      </c>
      <c r="D48" s="108">
        <v>20</v>
      </c>
      <c r="E48" s="162"/>
      <c r="F48" s="162">
        <f>Tabela28[[#This Row],[Ilość]]*Tabela28[[#This Row],[C.j. netto]]</f>
        <v>0</v>
      </c>
      <c r="G48" s="163"/>
      <c r="H48" s="164"/>
      <c r="I48" s="163"/>
      <c r="J48" s="163"/>
      <c r="K48" s="163"/>
      <c r="L48" s="163"/>
    </row>
    <row r="49" spans="1:12">
      <c r="A49" s="217" t="s">
        <v>96</v>
      </c>
      <c r="F49" s="162">
        <f>Tabela28[[#This Row],[Ilość]]*Tabela28[[#This Row],[C.j. netto]]</f>
        <v>0</v>
      </c>
      <c r="G49" s="163"/>
      <c r="H49" s="164"/>
      <c r="I49" s="163"/>
      <c r="J49" s="163"/>
      <c r="K49" s="163"/>
      <c r="L49" s="163"/>
    </row>
    <row r="50" spans="1:12">
      <c r="A50" s="217" t="s">
        <v>96</v>
      </c>
      <c r="B50" s="160" t="s">
        <v>752</v>
      </c>
      <c r="C50" s="161" t="s">
        <v>29</v>
      </c>
      <c r="D50" s="108">
        <v>25</v>
      </c>
      <c r="E50" s="162"/>
      <c r="F50" s="162">
        <f>Tabela28[[#This Row],[Ilość]]*Tabela28[[#This Row],[C.j. netto]]</f>
        <v>0</v>
      </c>
      <c r="G50" s="163"/>
      <c r="H50" s="164"/>
      <c r="I50" s="165"/>
      <c r="J50" s="163"/>
      <c r="K50" s="163"/>
      <c r="L50" s="163"/>
    </row>
    <row r="51" spans="1:12">
      <c r="A51" s="217" t="s">
        <v>98</v>
      </c>
      <c r="B51" s="160" t="s">
        <v>753</v>
      </c>
      <c r="C51" s="161" t="s">
        <v>29</v>
      </c>
      <c r="D51" s="108">
        <v>15</v>
      </c>
      <c r="E51" s="162"/>
      <c r="F51" s="162">
        <f>Tabela28[[#This Row],[Ilość]]*Tabela28[[#This Row],[C.j. netto]]</f>
        <v>0</v>
      </c>
      <c r="G51" s="163"/>
      <c r="H51" s="164"/>
      <c r="I51" s="163"/>
      <c r="J51" s="163"/>
      <c r="K51" s="163"/>
      <c r="L51" s="163"/>
    </row>
    <row r="52" spans="1:12">
      <c r="A52" s="217" t="s">
        <v>100</v>
      </c>
      <c r="B52" s="160" t="s">
        <v>754</v>
      </c>
      <c r="C52" s="161" t="s">
        <v>29</v>
      </c>
      <c r="D52" s="108">
        <v>10</v>
      </c>
      <c r="E52" s="162"/>
      <c r="F52" s="162">
        <f>Tabela28[[#This Row],[Ilość]]*Tabela28[[#This Row],[C.j. netto]]</f>
        <v>0</v>
      </c>
      <c r="G52" s="163"/>
      <c r="H52" s="164"/>
      <c r="I52" s="163"/>
      <c r="J52" s="163"/>
      <c r="K52" s="163"/>
      <c r="L52" s="163"/>
    </row>
    <row r="53" spans="1:12">
      <c r="A53" s="217" t="s">
        <v>102</v>
      </c>
      <c r="B53" s="160" t="s">
        <v>755</v>
      </c>
      <c r="C53" s="161" t="s">
        <v>29</v>
      </c>
      <c r="D53" s="108">
        <v>6</v>
      </c>
      <c r="E53" s="162"/>
      <c r="F53" s="162">
        <f>Tabela28[[#This Row],[Ilość]]*Tabela28[[#This Row],[C.j. netto]]</f>
        <v>0</v>
      </c>
      <c r="G53" s="163"/>
      <c r="H53" s="164"/>
      <c r="I53" s="165"/>
      <c r="J53" s="163"/>
      <c r="K53" s="163"/>
      <c r="L53" s="163"/>
    </row>
    <row r="54" spans="1:12">
      <c r="A54" s="217" t="s">
        <v>104</v>
      </c>
      <c r="B54" s="160" t="s">
        <v>1160</v>
      </c>
      <c r="C54" s="161" t="s">
        <v>29</v>
      </c>
      <c r="D54" s="161">
        <v>30</v>
      </c>
      <c r="E54" s="162"/>
      <c r="F54" s="162">
        <f>Tabela28[[#This Row],[Ilość]]*Tabela28[[#This Row],[C.j. netto]]</f>
        <v>0</v>
      </c>
      <c r="G54" s="163"/>
      <c r="H54" s="164"/>
      <c r="I54" s="165"/>
      <c r="J54" s="163"/>
      <c r="K54" s="163"/>
      <c r="L54" s="163"/>
    </row>
    <row r="55" spans="1:12">
      <c r="A55" s="217" t="s">
        <v>105</v>
      </c>
      <c r="B55" s="160" t="s">
        <v>756</v>
      </c>
      <c r="C55" s="161" t="s">
        <v>29</v>
      </c>
      <c r="D55" s="108">
        <v>15</v>
      </c>
      <c r="E55" s="162"/>
      <c r="F55" s="162">
        <f>Tabela28[[#This Row],[Ilość]]*Tabela28[[#This Row],[C.j. netto]]</f>
        <v>0</v>
      </c>
      <c r="G55" s="163"/>
      <c r="H55" s="164"/>
      <c r="I55" s="163"/>
      <c r="J55" s="163"/>
      <c r="K55" s="163"/>
      <c r="L55" s="163"/>
    </row>
    <row r="56" spans="1:12" ht="25.5">
      <c r="A56" s="217" t="s">
        <v>331</v>
      </c>
      <c r="B56" s="160" t="s">
        <v>757</v>
      </c>
      <c r="C56" s="161" t="s">
        <v>29</v>
      </c>
      <c r="D56" s="108">
        <v>50</v>
      </c>
      <c r="E56" s="162"/>
      <c r="F56" s="162">
        <f>Tabela28[[#This Row],[Ilość]]*Tabela28[[#This Row],[C.j. netto]]</f>
        <v>0</v>
      </c>
      <c r="G56" s="163"/>
      <c r="H56" s="164"/>
      <c r="I56" s="163"/>
      <c r="J56" s="163"/>
      <c r="K56" s="163"/>
      <c r="L56" s="163"/>
    </row>
    <row r="57" spans="1:12">
      <c r="A57" s="217" t="s">
        <v>333</v>
      </c>
      <c r="B57" s="181" t="s">
        <v>1189</v>
      </c>
      <c r="C57" s="174" t="s">
        <v>29</v>
      </c>
      <c r="D57" s="174">
        <v>100</v>
      </c>
      <c r="E57" s="175"/>
      <c r="F57" s="162">
        <f>Tabela28[[#This Row],[Ilość]]*Tabela28[[#This Row],[C.j. netto]]</f>
        <v>0</v>
      </c>
      <c r="G57" s="163"/>
      <c r="H57" s="164"/>
      <c r="I57" s="165"/>
      <c r="J57" s="163"/>
      <c r="K57" s="163"/>
      <c r="L57" s="163"/>
    </row>
    <row r="58" spans="1:12">
      <c r="A58" s="217" t="s">
        <v>335</v>
      </c>
      <c r="B58" s="181" t="s">
        <v>1224</v>
      </c>
      <c r="C58" s="174" t="s">
        <v>29</v>
      </c>
      <c r="D58" s="174">
        <v>30</v>
      </c>
      <c r="E58" s="175"/>
      <c r="F58" s="162">
        <f>Tabela28[[#This Row],[Ilość]]*Tabela28[[#This Row],[C.j. netto]]</f>
        <v>0</v>
      </c>
      <c r="G58" s="163"/>
      <c r="H58" s="164"/>
      <c r="I58" s="165"/>
      <c r="J58" s="163"/>
      <c r="K58" s="163"/>
      <c r="L58" s="163"/>
    </row>
    <row r="59" spans="1:12">
      <c r="A59" s="217" t="s">
        <v>337</v>
      </c>
      <c r="B59" s="181" t="s">
        <v>1227</v>
      </c>
      <c r="C59" s="174" t="s">
        <v>29</v>
      </c>
      <c r="D59" s="174">
        <v>10</v>
      </c>
      <c r="E59" s="175"/>
      <c r="F59" s="162">
        <f>Tabela28[[#This Row],[Ilość]]*Tabela28[[#This Row],[C.j. netto]]</f>
        <v>0</v>
      </c>
      <c r="G59" s="163"/>
      <c r="H59" s="164"/>
      <c r="I59" s="165"/>
      <c r="J59" s="163"/>
      <c r="K59" s="163"/>
      <c r="L59" s="163"/>
    </row>
    <row r="60" spans="1:12" ht="22.5" customHeight="1">
      <c r="A60" s="27" t="s">
        <v>118</v>
      </c>
      <c r="E60"/>
      <c r="F60" s="28">
        <f>SUBTOTAL(109,Tabela28[Wartość netto])</f>
        <v>0</v>
      </c>
      <c r="H60" s="24"/>
    </row>
    <row r="61" spans="1:12" ht="22.5" customHeight="1">
      <c r="A61" s="27"/>
      <c r="E61"/>
      <c r="F61" s="28"/>
      <c r="H61" s="24"/>
    </row>
    <row r="62" spans="1:12" ht="28.5" customHeight="1">
      <c r="A62" s="10" t="s">
        <v>115</v>
      </c>
      <c r="B62" s="5"/>
    </row>
    <row r="63" spans="1:12" ht="17.25" customHeight="1">
      <c r="A63" s="11" t="s">
        <v>116</v>
      </c>
      <c r="B63" s="5"/>
      <c r="L63" s="17"/>
    </row>
    <row r="64" spans="1:12" ht="19.5" customHeight="1">
      <c r="A64" s="11" t="s">
        <v>117</v>
      </c>
      <c r="B64" s="5"/>
      <c r="L64" s="32" t="s">
        <v>119</v>
      </c>
    </row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0" fitToHeight="0" orientation="landscape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A13-C4E0-4110-BED0-0D075002522B}">
  <sheetPr>
    <pageSetUpPr fitToPage="1"/>
  </sheetPr>
  <dimension ref="A1:M17"/>
  <sheetViews>
    <sheetView workbookViewId="0">
      <selection activeCell="A9" sqref="A9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761</v>
      </c>
      <c r="B1" s="19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48" t="s">
        <v>4</v>
      </c>
      <c r="B9" s="53" t="s">
        <v>1234</v>
      </c>
      <c r="C9" s="50" t="s">
        <v>29</v>
      </c>
      <c r="D9" s="50">
        <v>100</v>
      </c>
      <c r="E9" s="52"/>
      <c r="F9" s="54">
        <f>Tabela29[[#This Row],[Ilość]]*Tabela29[[#This Row],[C.j. netto]]</f>
        <v>0</v>
      </c>
      <c r="G9" s="37"/>
      <c r="H9" s="38"/>
      <c r="I9" s="37"/>
      <c r="J9" s="37"/>
      <c r="K9" s="37"/>
      <c r="L9" s="39"/>
    </row>
    <row r="10" spans="1:13">
      <c r="A10" s="13" t="s">
        <v>118</v>
      </c>
      <c r="B10" s="14"/>
      <c r="C10" s="26"/>
      <c r="D10" s="26"/>
      <c r="E10" s="29"/>
      <c r="F10" s="31">
        <f>SUBTOTAL(109,Tabela29[Wartość netto])</f>
        <v>0</v>
      </c>
      <c r="G10" s="15"/>
      <c r="H10" s="30"/>
      <c r="I10" s="15"/>
      <c r="J10" s="15"/>
      <c r="K10" s="15"/>
      <c r="L10" s="16"/>
    </row>
    <row r="11" spans="1:13">
      <c r="A11" s="27"/>
      <c r="E11" s="55"/>
      <c r="F11" s="28"/>
      <c r="H11" s="56"/>
    </row>
    <row r="12" spans="1:13" ht="15">
      <c r="A12" s="47"/>
    </row>
    <row r="14" spans="1:13" ht="30">
      <c r="A14" s="10" t="s">
        <v>115</v>
      </c>
      <c r="B14" s="5"/>
    </row>
    <row r="15" spans="1:13" ht="30" customHeight="1">
      <c r="A15" s="11" t="s">
        <v>116</v>
      </c>
      <c r="B15" s="5"/>
      <c r="L15" s="17"/>
    </row>
    <row r="16" spans="1:13" ht="30" customHeight="1">
      <c r="A16" s="11" t="s">
        <v>117</v>
      </c>
      <c r="B16" s="5"/>
      <c r="L16" s="32" t="s">
        <v>119</v>
      </c>
    </row>
    <row r="17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4809-8C1D-4985-B35B-81690B418F00}">
  <sheetPr>
    <pageSetUpPr fitToPage="1"/>
  </sheetPr>
  <dimension ref="A1:M42"/>
  <sheetViews>
    <sheetView topLeftCell="A10" workbookViewId="0">
      <selection activeCell="B4" sqref="B4:E4"/>
    </sheetView>
    <sheetView workbookViewId="1"/>
    <sheetView topLeftCell="A6" workbookViewId="2">
      <selection activeCell="E9" sqref="E9:E36"/>
    </sheetView>
  </sheetViews>
  <sheetFormatPr defaultRowHeight="14.25"/>
  <cols>
    <col min="1" max="1" width="14.125" customWidth="1"/>
    <col min="2" max="2" width="49.625" style="6" customWidth="1"/>
    <col min="3" max="4" width="9.125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18</v>
      </c>
      <c r="B1" s="199"/>
    </row>
    <row r="3" spans="1:13" ht="39.950000000000003" customHeight="1">
      <c r="A3" s="8" t="s">
        <v>112</v>
      </c>
      <c r="B3" s="265"/>
      <c r="C3" s="265"/>
      <c r="D3" s="265"/>
      <c r="E3" s="265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9.25" customHeight="1">
      <c r="A9" s="33" t="s">
        <v>4</v>
      </c>
      <c r="B9" s="57" t="s">
        <v>127</v>
      </c>
      <c r="C9" s="35" t="s">
        <v>103</v>
      </c>
      <c r="D9" s="35">
        <v>300</v>
      </c>
      <c r="E9" s="36"/>
      <c r="F9" s="36">
        <f>Tabela3[[#This Row],[Ilość]]*Tabela3[[#This Row],[C.j. netto]]</f>
        <v>0</v>
      </c>
      <c r="G9" s="37"/>
      <c r="H9" s="38"/>
      <c r="I9" s="37"/>
      <c r="J9" s="37"/>
      <c r="K9" s="37"/>
      <c r="L9" s="39"/>
    </row>
    <row r="10" spans="1:13">
      <c r="A10" s="33" t="s">
        <v>5</v>
      </c>
      <c r="B10" s="57" t="s">
        <v>125</v>
      </c>
      <c r="C10" s="35" t="s">
        <v>103</v>
      </c>
      <c r="D10" s="35">
        <v>500</v>
      </c>
      <c r="E10" s="36"/>
      <c r="F10" s="36">
        <f>Tabela3[[#This Row],[Ilość]]*Tabela3[[#This Row],[C.j. netto]]</f>
        <v>0</v>
      </c>
      <c r="G10" s="37"/>
      <c r="H10" s="38"/>
      <c r="I10" s="37"/>
      <c r="J10" s="37"/>
      <c r="K10" s="37"/>
      <c r="L10" s="39"/>
    </row>
    <row r="11" spans="1:13">
      <c r="A11" s="33" t="s">
        <v>6</v>
      </c>
      <c r="B11" s="57" t="s">
        <v>126</v>
      </c>
      <c r="C11" s="35" t="s">
        <v>103</v>
      </c>
      <c r="D11" s="35">
        <v>750</v>
      </c>
      <c r="E11" s="36"/>
      <c r="F11" s="36">
        <f>Tabela3[[#This Row],[Ilość]]*Tabela3[[#This Row],[C.j. netto]]</f>
        <v>0</v>
      </c>
      <c r="G11" s="37"/>
      <c r="H11" s="38"/>
      <c r="I11" s="37"/>
      <c r="J11" s="37"/>
      <c r="K11" s="37"/>
      <c r="L11" s="39"/>
    </row>
    <row r="12" spans="1:13">
      <c r="A12" s="33" t="s">
        <v>26</v>
      </c>
      <c r="B12" s="57" t="s">
        <v>144</v>
      </c>
      <c r="C12" s="35" t="s">
        <v>103</v>
      </c>
      <c r="D12" s="35">
        <v>100</v>
      </c>
      <c r="E12" s="36"/>
      <c r="F12" s="36">
        <f>Tabela3[[#This Row],[Ilość]]*Tabela3[[#This Row],[C.j. netto]]</f>
        <v>0</v>
      </c>
      <c r="G12" s="37"/>
      <c r="H12" s="38"/>
      <c r="I12" s="37"/>
      <c r="J12" s="37"/>
      <c r="K12" s="37"/>
      <c r="L12" s="39"/>
    </row>
    <row r="13" spans="1:13">
      <c r="A13" s="33" t="s">
        <v>27</v>
      </c>
      <c r="B13" s="57" t="s">
        <v>146</v>
      </c>
      <c r="C13" s="35" t="s">
        <v>103</v>
      </c>
      <c r="D13" s="35">
        <v>150</v>
      </c>
      <c r="E13" s="36"/>
      <c r="F13" s="36">
        <f>Tabela3[[#This Row],[Ilość]]*Tabela3[[#This Row],[C.j. netto]]</f>
        <v>0</v>
      </c>
      <c r="G13" s="37"/>
      <c r="H13" s="38"/>
      <c r="I13" s="37"/>
      <c r="J13" s="37"/>
      <c r="K13" s="37"/>
      <c r="L13" s="39"/>
    </row>
    <row r="14" spans="1:13">
      <c r="A14" s="33" t="s">
        <v>32</v>
      </c>
      <c r="B14" s="57" t="s">
        <v>145</v>
      </c>
      <c r="C14" s="35" t="s">
        <v>103</v>
      </c>
      <c r="D14" s="35">
        <v>1500</v>
      </c>
      <c r="E14" s="36"/>
      <c r="F14" s="36">
        <f>Tabela3[[#This Row],[Ilość]]*Tabela3[[#This Row],[C.j. netto]]</f>
        <v>0</v>
      </c>
      <c r="G14" s="37"/>
      <c r="H14" s="38"/>
      <c r="I14" s="37"/>
      <c r="J14" s="37"/>
      <c r="K14" s="37"/>
      <c r="L14" s="39"/>
    </row>
    <row r="15" spans="1:13">
      <c r="A15" s="33" t="s">
        <v>34</v>
      </c>
      <c r="B15" s="57" t="s">
        <v>128</v>
      </c>
      <c r="C15" s="35" t="s">
        <v>103</v>
      </c>
      <c r="D15" s="35">
        <v>300</v>
      </c>
      <c r="E15" s="36"/>
      <c r="F15" s="36">
        <f>Tabela3[[#This Row],[Ilość]]*Tabela3[[#This Row],[C.j. netto]]</f>
        <v>0</v>
      </c>
      <c r="G15" s="37"/>
      <c r="H15" s="38"/>
      <c r="I15" s="37"/>
      <c r="J15" s="37"/>
      <c r="K15" s="37"/>
      <c r="L15" s="39"/>
    </row>
    <row r="16" spans="1:13">
      <c r="A16" s="33" t="s">
        <v>36</v>
      </c>
      <c r="B16" s="57" t="s">
        <v>129</v>
      </c>
      <c r="C16" s="35" t="s">
        <v>103</v>
      </c>
      <c r="D16" s="35">
        <v>500</v>
      </c>
      <c r="E16" s="36"/>
      <c r="F16" s="36">
        <f>Tabela3[[#This Row],[Ilość]]*Tabela3[[#This Row],[C.j. netto]]</f>
        <v>0</v>
      </c>
      <c r="G16" s="37"/>
      <c r="H16" s="38"/>
      <c r="I16" s="37"/>
      <c r="J16" s="37"/>
      <c r="K16" s="37"/>
      <c r="L16" s="39"/>
    </row>
    <row r="17" spans="1:12">
      <c r="A17" s="33" t="s">
        <v>38</v>
      </c>
      <c r="B17" s="57" t="s">
        <v>130</v>
      </c>
      <c r="C17" s="35" t="s">
        <v>103</v>
      </c>
      <c r="D17" s="35">
        <v>100</v>
      </c>
      <c r="E17" s="36"/>
      <c r="F17" s="36">
        <f>Tabela3[[#This Row],[Ilość]]*Tabela3[[#This Row],[C.j. netto]]</f>
        <v>0</v>
      </c>
      <c r="G17" s="37"/>
      <c r="H17" s="38"/>
      <c r="I17" s="37"/>
      <c r="J17" s="37"/>
      <c r="K17" s="37"/>
      <c r="L17" s="39"/>
    </row>
    <row r="18" spans="1:12">
      <c r="A18" s="33" t="s">
        <v>40</v>
      </c>
      <c r="B18" s="57" t="s">
        <v>1272</v>
      </c>
      <c r="C18" s="35" t="s">
        <v>16</v>
      </c>
      <c r="D18" s="35">
        <v>50</v>
      </c>
      <c r="E18" s="36"/>
      <c r="F18" s="36">
        <f>Tabela3[[#This Row],[Ilość]]*Tabela3[[#This Row],[C.j. netto]]</f>
        <v>0</v>
      </c>
      <c r="G18" s="37"/>
      <c r="H18" s="38"/>
      <c r="I18" s="37"/>
      <c r="J18" s="37"/>
      <c r="K18" s="37"/>
      <c r="L18" s="39"/>
    </row>
    <row r="19" spans="1:12">
      <c r="A19" s="33" t="s">
        <v>42</v>
      </c>
      <c r="B19" s="57" t="s">
        <v>131</v>
      </c>
      <c r="C19" s="35" t="s">
        <v>29</v>
      </c>
      <c r="D19" s="35">
        <v>150</v>
      </c>
      <c r="E19" s="36"/>
      <c r="F19" s="36">
        <f>Tabela3[[#This Row],[Ilość]]*Tabela3[[#This Row],[C.j. netto]]</f>
        <v>0</v>
      </c>
      <c r="G19" s="37"/>
      <c r="H19" s="38"/>
      <c r="I19" s="37"/>
      <c r="J19" s="37"/>
      <c r="K19" s="37"/>
      <c r="L19" s="39"/>
    </row>
    <row r="20" spans="1:12">
      <c r="A20" s="33" t="s">
        <v>45</v>
      </c>
      <c r="B20" s="34" t="s">
        <v>1273</v>
      </c>
      <c r="C20" s="35" t="s">
        <v>29</v>
      </c>
      <c r="D20" s="35">
        <v>50</v>
      </c>
      <c r="E20" s="36"/>
      <c r="F20" s="36">
        <f>Tabela1[[#This Row],[Ilość]]*Tabela1[[#This Row],[C.j. netto]]</f>
        <v>0</v>
      </c>
      <c r="G20" s="37"/>
      <c r="H20" s="38"/>
      <c r="I20" s="37"/>
      <c r="J20" s="37"/>
      <c r="K20" s="37"/>
      <c r="L20" s="39"/>
    </row>
    <row r="21" spans="1:12">
      <c r="A21" s="33" t="s">
        <v>47</v>
      </c>
      <c r="B21" s="57" t="s">
        <v>1274</v>
      </c>
      <c r="C21" s="35" t="s">
        <v>16</v>
      </c>
      <c r="D21" s="35">
        <v>250</v>
      </c>
      <c r="E21" s="36"/>
      <c r="F21" s="36">
        <f>Tabela3[[#This Row],[Ilość]]*Tabela3[[#This Row],[C.j. netto]]</f>
        <v>0</v>
      </c>
      <c r="G21" s="37"/>
      <c r="H21" s="38"/>
      <c r="I21" s="37"/>
      <c r="J21" s="37"/>
      <c r="K21" s="37"/>
      <c r="L21" s="39"/>
    </row>
    <row r="22" spans="1:12">
      <c r="A22" s="33" t="s">
        <v>48</v>
      </c>
      <c r="B22" s="57" t="s">
        <v>134</v>
      </c>
      <c r="C22" s="35" t="s">
        <v>29</v>
      </c>
      <c r="D22" s="35">
        <v>15</v>
      </c>
      <c r="E22" s="36"/>
      <c r="F22" s="36">
        <f>Tabela3[[#This Row],[Ilość]]*Tabela3[[#This Row],[C.j. netto]]</f>
        <v>0</v>
      </c>
      <c r="G22" s="37"/>
      <c r="H22" s="38"/>
      <c r="I22" s="37"/>
      <c r="J22" s="37"/>
      <c r="K22" s="37"/>
      <c r="L22" s="39"/>
    </row>
    <row r="23" spans="1:12">
      <c r="A23" s="33" t="s">
        <v>49</v>
      </c>
      <c r="B23" s="57" t="s">
        <v>132</v>
      </c>
      <c r="C23" s="35" t="s">
        <v>106</v>
      </c>
      <c r="D23" s="40">
        <v>2000</v>
      </c>
      <c r="E23" s="36"/>
      <c r="F23" s="36">
        <f>Tabela3[[#This Row],[Ilość]]*Tabela3[[#This Row],[C.j. netto]]</f>
        <v>0</v>
      </c>
      <c r="G23" s="37"/>
      <c r="H23" s="38"/>
      <c r="I23" s="37"/>
      <c r="J23" s="37"/>
      <c r="K23" s="37"/>
      <c r="L23" s="39"/>
    </row>
    <row r="24" spans="1:12">
      <c r="A24" s="33" t="s">
        <v>50</v>
      </c>
      <c r="B24" s="57" t="s">
        <v>133</v>
      </c>
      <c r="C24" s="35" t="s">
        <v>106</v>
      </c>
      <c r="D24" s="40">
        <v>2500</v>
      </c>
      <c r="E24" s="36"/>
      <c r="F24" s="36">
        <f>Tabela3[[#This Row],[Ilość]]*Tabela3[[#This Row],[C.j. netto]]</f>
        <v>0</v>
      </c>
      <c r="G24" s="37"/>
      <c r="H24" s="38"/>
      <c r="I24" s="37"/>
      <c r="J24" s="37"/>
      <c r="K24" s="37"/>
      <c r="L24" s="39"/>
    </row>
    <row r="25" spans="1:12" ht="25.5">
      <c r="A25" s="33" t="s">
        <v>52</v>
      </c>
      <c r="B25" s="57" t="s">
        <v>135</v>
      </c>
      <c r="C25" s="35" t="s">
        <v>29</v>
      </c>
      <c r="D25" s="35">
        <v>150</v>
      </c>
      <c r="E25" s="36"/>
      <c r="F25" s="36">
        <f>Tabela3[[#This Row],[Ilość]]*Tabela3[[#This Row],[C.j. netto]]</f>
        <v>0</v>
      </c>
      <c r="G25" s="37"/>
      <c r="H25" s="38"/>
      <c r="I25" s="37"/>
      <c r="J25" s="37"/>
      <c r="K25" s="37"/>
      <c r="L25" s="39"/>
    </row>
    <row r="26" spans="1:12" ht="25.5">
      <c r="A26" s="33" t="s">
        <v>54</v>
      </c>
      <c r="B26" s="57" t="s">
        <v>136</v>
      </c>
      <c r="C26" s="35" t="s">
        <v>29</v>
      </c>
      <c r="D26" s="50">
        <v>80</v>
      </c>
      <c r="E26" s="36"/>
      <c r="F26" s="36">
        <f>Tabela3[[#This Row],[Ilość]]*Tabela3[[#This Row],[C.j. netto]]</f>
        <v>0</v>
      </c>
      <c r="G26" s="37"/>
      <c r="H26" s="38"/>
      <c r="I26" s="37"/>
      <c r="J26" s="37"/>
      <c r="K26" s="37"/>
      <c r="L26" s="39"/>
    </row>
    <row r="27" spans="1:12" ht="25.5">
      <c r="A27" s="33" t="s">
        <v>56</v>
      </c>
      <c r="B27" s="57" t="s">
        <v>1275</v>
      </c>
      <c r="C27" s="35" t="s">
        <v>16</v>
      </c>
      <c r="D27" s="50">
        <v>80</v>
      </c>
      <c r="E27" s="36"/>
      <c r="F27" s="36">
        <f>Tabela3[[#This Row],[Ilość]]*Tabela3[[#This Row],[C.j. netto]]</f>
        <v>0</v>
      </c>
      <c r="G27" s="37"/>
      <c r="H27" s="38"/>
      <c r="I27" s="37"/>
      <c r="J27" s="37"/>
      <c r="K27" s="37"/>
      <c r="L27" s="39"/>
    </row>
    <row r="28" spans="1:12">
      <c r="A28" s="33" t="s">
        <v>57</v>
      </c>
      <c r="B28" s="57" t="s">
        <v>137</v>
      </c>
      <c r="C28" s="35" t="s">
        <v>103</v>
      </c>
      <c r="D28" s="35">
        <v>1500</v>
      </c>
      <c r="E28" s="36"/>
      <c r="F28" s="36">
        <f>Tabela3[[#This Row],[Ilość]]*Tabela3[[#This Row],[C.j. netto]]</f>
        <v>0</v>
      </c>
      <c r="G28" s="37"/>
      <c r="H28" s="38"/>
      <c r="I28" s="37"/>
      <c r="J28" s="37"/>
      <c r="K28" s="37"/>
      <c r="L28" s="39"/>
    </row>
    <row r="29" spans="1:12">
      <c r="A29" s="33" t="s">
        <v>59</v>
      </c>
      <c r="B29" s="57" t="s">
        <v>139</v>
      </c>
      <c r="C29" s="35" t="s">
        <v>29</v>
      </c>
      <c r="D29" s="35">
        <v>100</v>
      </c>
      <c r="E29" s="36"/>
      <c r="F29" s="36">
        <f>Tabela3[[#This Row],[Ilość]]*Tabela3[[#This Row],[C.j. netto]]</f>
        <v>0</v>
      </c>
      <c r="G29" s="37"/>
      <c r="H29" s="38"/>
      <c r="I29" s="37"/>
      <c r="J29" s="37"/>
      <c r="K29" s="37"/>
      <c r="L29" s="39"/>
    </row>
    <row r="30" spans="1:12">
      <c r="A30" s="33" t="s">
        <v>61</v>
      </c>
      <c r="B30" s="57" t="s">
        <v>138</v>
      </c>
      <c r="C30" s="35" t="s">
        <v>29</v>
      </c>
      <c r="D30" s="40">
        <v>250</v>
      </c>
      <c r="E30" s="36"/>
      <c r="F30" s="36">
        <f>Tabela3[[#This Row],[Ilość]]*Tabela3[[#This Row],[C.j. netto]]</f>
        <v>0</v>
      </c>
      <c r="G30" s="37"/>
      <c r="H30" s="38"/>
      <c r="I30" s="37"/>
      <c r="J30" s="37"/>
      <c r="K30" s="37"/>
      <c r="L30" s="39"/>
    </row>
    <row r="31" spans="1:12">
      <c r="A31" s="33" t="s">
        <v>63</v>
      </c>
      <c r="B31" s="57" t="s">
        <v>140</v>
      </c>
      <c r="C31" s="35" t="s">
        <v>29</v>
      </c>
      <c r="D31" s="35">
        <v>10</v>
      </c>
      <c r="E31" s="36"/>
      <c r="F31" s="36">
        <f>Tabela3[[#This Row],[Ilość]]*Tabela3[[#This Row],[C.j. netto]]</f>
        <v>0</v>
      </c>
      <c r="G31" s="37"/>
      <c r="H31" s="38"/>
      <c r="I31" s="37"/>
      <c r="J31" s="37"/>
      <c r="K31" s="37"/>
      <c r="L31" s="39"/>
    </row>
    <row r="32" spans="1:12">
      <c r="A32" s="33" t="s">
        <v>65</v>
      </c>
      <c r="B32" s="57" t="s">
        <v>1161</v>
      </c>
      <c r="C32" s="35" t="s">
        <v>29</v>
      </c>
      <c r="D32" s="35">
        <v>50</v>
      </c>
      <c r="E32" s="36"/>
      <c r="F32" s="36">
        <f>Tabela3[[#This Row],[Ilość]]*Tabela3[[#This Row],[C.j. netto]]</f>
        <v>0</v>
      </c>
      <c r="G32" s="37"/>
      <c r="H32" s="38"/>
      <c r="I32" s="37"/>
      <c r="J32" s="37"/>
      <c r="K32" s="37"/>
      <c r="L32" s="39"/>
    </row>
    <row r="33" spans="1:12">
      <c r="A33" s="33" t="s">
        <v>67</v>
      </c>
      <c r="B33" s="57" t="s">
        <v>141</v>
      </c>
      <c r="C33" s="35" t="s">
        <v>29</v>
      </c>
      <c r="D33" s="35">
        <v>50</v>
      </c>
      <c r="E33" s="36"/>
      <c r="F33" s="36">
        <f>Tabela3[[#This Row],[Ilość]]*Tabela3[[#This Row],[C.j. netto]]</f>
        <v>0</v>
      </c>
      <c r="G33" s="37"/>
      <c r="H33" s="38"/>
      <c r="I33" s="37"/>
      <c r="J33" s="37"/>
      <c r="K33" s="37"/>
      <c r="L33" s="39"/>
    </row>
    <row r="34" spans="1:12">
      <c r="A34" s="33" t="s">
        <v>69</v>
      </c>
      <c r="B34" s="57" t="s">
        <v>142</v>
      </c>
      <c r="C34" s="35" t="s">
        <v>29</v>
      </c>
      <c r="D34" s="35">
        <v>550</v>
      </c>
      <c r="E34" s="36"/>
      <c r="F34" s="36">
        <f>Tabela3[[#This Row],[Ilość]]*Tabela3[[#This Row],[C.j. netto]]</f>
        <v>0</v>
      </c>
      <c r="G34" s="37"/>
      <c r="H34" s="38"/>
      <c r="I34" s="37"/>
      <c r="J34" s="37"/>
      <c r="K34" s="37"/>
      <c r="L34" s="39"/>
    </row>
    <row r="35" spans="1:12">
      <c r="A35" s="33" t="s">
        <v>71</v>
      </c>
      <c r="B35" s="57" t="s">
        <v>143</v>
      </c>
      <c r="C35" s="35" t="s">
        <v>29</v>
      </c>
      <c r="D35" s="35">
        <v>5</v>
      </c>
      <c r="E35" s="36"/>
      <c r="F35" s="36">
        <f>Tabela3[[#This Row],[Ilość]]*Tabela3[[#This Row],[C.j. netto]]</f>
        <v>0</v>
      </c>
      <c r="G35" s="37"/>
      <c r="H35" s="38"/>
      <c r="I35" s="37"/>
      <c r="J35" s="37"/>
      <c r="K35" s="37"/>
      <c r="L35" s="39"/>
    </row>
    <row r="36" spans="1:12">
      <c r="A36" s="33" t="s">
        <v>73</v>
      </c>
      <c r="B36" s="170" t="s">
        <v>39</v>
      </c>
      <c r="C36" s="35" t="s">
        <v>29</v>
      </c>
      <c r="D36" s="35">
        <v>25</v>
      </c>
      <c r="E36" s="36"/>
      <c r="F36" s="36">
        <f>Tabela3[[#This Row],[Ilość]]*Tabela3[[#This Row],[C.j. netto]]</f>
        <v>0</v>
      </c>
      <c r="G36" s="37"/>
      <c r="H36" s="38"/>
      <c r="I36" s="37"/>
      <c r="J36" s="37"/>
      <c r="K36" s="37"/>
      <c r="L36" s="39"/>
    </row>
    <row r="37" spans="1:12">
      <c r="A37" s="13" t="s">
        <v>118</v>
      </c>
      <c r="B37" s="58"/>
      <c r="C37" s="26"/>
      <c r="D37" s="26"/>
      <c r="E37" s="15"/>
      <c r="F37" s="31">
        <f>SUBTOTAL(109,Tabela3[Wartość netto])</f>
        <v>0</v>
      </c>
      <c r="G37" s="15"/>
      <c r="H37" s="26"/>
      <c r="I37" s="15"/>
      <c r="J37" s="15"/>
      <c r="K37" s="15"/>
      <c r="L37" s="16"/>
    </row>
    <row r="38" spans="1:12" ht="30" customHeight="1"/>
    <row r="39" spans="1:12" ht="30" customHeight="1"/>
    <row r="40" spans="1:12" ht="30" customHeight="1">
      <c r="A40" s="10" t="s">
        <v>115</v>
      </c>
      <c r="B40" s="5"/>
    </row>
    <row r="41" spans="1:12" ht="15">
      <c r="A41" s="11" t="s">
        <v>116</v>
      </c>
      <c r="B41" s="5"/>
      <c r="L41" s="17"/>
    </row>
    <row r="42" spans="1:12" ht="15">
      <c r="A42" s="11" t="s">
        <v>117</v>
      </c>
      <c r="B42" s="5"/>
      <c r="L42" s="32" t="s">
        <v>119</v>
      </c>
    </row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7281-9143-452D-93CA-02EB4A512938}">
  <sheetPr>
    <pageSetUpPr fitToPage="1"/>
  </sheetPr>
  <dimension ref="A1:M16"/>
  <sheetViews>
    <sheetView workbookViewId="0">
      <selection activeCell="G16" sqref="G16"/>
    </sheetView>
    <sheetView workbookViewId="1"/>
    <sheetView workbookViewId="2">
      <selection activeCell="E9" sqref="E9:E11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762</v>
      </c>
      <c r="B1" s="20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9.25" customHeight="1">
      <c r="A9" s="48" t="s">
        <v>4</v>
      </c>
      <c r="B9" s="57" t="s">
        <v>1247</v>
      </c>
      <c r="C9" s="35" t="s">
        <v>29</v>
      </c>
      <c r="D9" s="64">
        <v>500</v>
      </c>
      <c r="E9" s="36"/>
      <c r="F9" s="36">
        <f>Tabela30[[#This Row],[Ilość]]*Tabela30[[#This Row],[C.j. netto]]</f>
        <v>0</v>
      </c>
      <c r="G9" s="37"/>
      <c r="H9" s="38"/>
      <c r="I9" s="66"/>
      <c r="J9" s="37"/>
      <c r="K9" s="37"/>
      <c r="L9" s="39"/>
    </row>
    <row r="10" spans="1:13">
      <c r="A10" s="48" t="s">
        <v>5</v>
      </c>
      <c r="B10" s="57" t="s">
        <v>763</v>
      </c>
      <c r="C10" s="35" t="s">
        <v>29</v>
      </c>
      <c r="D10" s="64">
        <v>2800</v>
      </c>
      <c r="E10" s="36"/>
      <c r="F10" s="36">
        <f>Tabela30[[#This Row],[Ilość]]*Tabela30[[#This Row],[C.j. netto]]</f>
        <v>0</v>
      </c>
      <c r="G10" s="37"/>
      <c r="H10" s="38"/>
      <c r="I10" s="66"/>
      <c r="J10" s="37"/>
      <c r="K10" s="37"/>
      <c r="L10" s="39"/>
    </row>
    <row r="11" spans="1:13">
      <c r="A11" s="13" t="s">
        <v>118</v>
      </c>
      <c r="B11" s="58"/>
      <c r="C11" s="26"/>
      <c r="D11" s="26"/>
      <c r="E11" s="15"/>
      <c r="F11" s="31">
        <f>SUBTOTAL(109,Tabela30[Wartość netto])</f>
        <v>0</v>
      </c>
      <c r="G11" s="15"/>
      <c r="H11" s="26"/>
      <c r="I11" s="15"/>
      <c r="J11" s="15"/>
      <c r="K11" s="15"/>
      <c r="L11" s="16"/>
    </row>
    <row r="14" spans="1:13" ht="30" customHeight="1">
      <c r="A14" s="10" t="s">
        <v>115</v>
      </c>
      <c r="B14" s="5"/>
    </row>
    <row r="15" spans="1:13" ht="30" customHeight="1">
      <c r="A15" s="11" t="s">
        <v>116</v>
      </c>
      <c r="B15" s="5"/>
      <c r="L15" s="17"/>
    </row>
    <row r="16" spans="1:13" ht="30" customHeight="1">
      <c r="A16" s="11" t="s">
        <v>117</v>
      </c>
      <c r="B16" s="5"/>
      <c r="L16" s="32" t="s">
        <v>119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15F32-71F8-409F-8EDF-0DBC1CDC6B9E}">
  <sheetPr>
    <pageSetUpPr fitToPage="1"/>
  </sheetPr>
  <dimension ref="A1:M62"/>
  <sheetViews>
    <sheetView workbookViewId="0">
      <selection activeCell="B41" sqref="B41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764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33" t="s">
        <v>4</v>
      </c>
      <c r="B9" s="77" t="s">
        <v>1199</v>
      </c>
      <c r="C9" s="64" t="s">
        <v>29</v>
      </c>
      <c r="D9" s="64">
        <v>30</v>
      </c>
      <c r="E9" s="75"/>
      <c r="F9" s="75">
        <f>Tabela31[[#This Row],[Ilość]]*Tabela31[[#This Row],[C.j. netto]]</f>
        <v>0</v>
      </c>
      <c r="G9" s="37"/>
      <c r="H9" s="38"/>
      <c r="I9" s="37"/>
      <c r="J9" s="37"/>
      <c r="K9" s="37"/>
      <c r="L9" s="39"/>
    </row>
    <row r="10" spans="1:13">
      <c r="A10" s="13" t="s">
        <v>118</v>
      </c>
      <c r="B10" s="14"/>
      <c r="C10" s="26"/>
      <c r="D10" s="26"/>
      <c r="E10" s="15"/>
      <c r="F10" s="31">
        <f>SUBTOTAL(109,Tabela31[Wartość netto])</f>
        <v>0</v>
      </c>
      <c r="G10" s="15"/>
      <c r="H10" s="26"/>
      <c r="I10" s="15"/>
      <c r="J10" s="15"/>
      <c r="K10" s="15"/>
      <c r="L10" s="16"/>
    </row>
    <row r="11" spans="1:13">
      <c r="A11" s="27"/>
      <c r="E11"/>
      <c r="F11" s="28"/>
      <c r="H11" s="24"/>
    </row>
    <row r="12" spans="1:13">
      <c r="A12" s="27"/>
      <c r="E12"/>
      <c r="F12" s="28"/>
      <c r="H12" s="24"/>
    </row>
    <row r="13" spans="1:13">
      <c r="A13" s="27"/>
      <c r="E13"/>
      <c r="F13" s="28"/>
      <c r="H13" s="24"/>
    </row>
    <row r="14" spans="1:13" ht="30">
      <c r="A14" s="10" t="s">
        <v>115</v>
      </c>
      <c r="B14" s="5"/>
    </row>
    <row r="15" spans="1:13" ht="15">
      <c r="A15" s="11" t="s">
        <v>116</v>
      </c>
      <c r="B15" s="5"/>
      <c r="L15" s="17"/>
    </row>
    <row r="16" spans="1:13" ht="15">
      <c r="A16" s="11" t="s">
        <v>117</v>
      </c>
      <c r="B16" s="5"/>
      <c r="L16" s="32" t="s">
        <v>119</v>
      </c>
    </row>
    <row r="60" ht="30" customHeight="1"/>
    <row r="61" ht="30" customHeight="1"/>
    <row r="62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017A-A340-46BE-BA41-66FB8F785F72}">
  <sheetPr>
    <pageSetUpPr fitToPage="1"/>
  </sheetPr>
  <dimension ref="A1:M17"/>
  <sheetViews>
    <sheetView workbookViewId="0">
      <selection activeCell="B2" sqref="B2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765</v>
      </c>
      <c r="B1" s="19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48" t="s">
        <v>4</v>
      </c>
      <c r="B9" s="53" t="s">
        <v>766</v>
      </c>
      <c r="C9" s="50" t="s">
        <v>282</v>
      </c>
      <c r="D9" s="50">
        <v>200</v>
      </c>
      <c r="E9" s="52"/>
      <c r="F9" s="54">
        <f>Tabela32[[#This Row],[Ilość]]*Tabela32[[#This Row],[C.j. netto]]</f>
        <v>0</v>
      </c>
      <c r="G9" s="37"/>
      <c r="H9" s="38"/>
      <c r="I9" s="37"/>
      <c r="J9" s="37"/>
      <c r="K9" s="37"/>
      <c r="L9" s="39"/>
    </row>
    <row r="10" spans="1:13">
      <c r="A10" s="13" t="s">
        <v>118</v>
      </c>
      <c r="B10" s="14"/>
      <c r="C10" s="26"/>
      <c r="D10" s="26"/>
      <c r="E10" s="29"/>
      <c r="F10" s="31">
        <f>SUBTOTAL(109,Tabela32[Wartość netto])</f>
        <v>0</v>
      </c>
      <c r="G10" s="15"/>
      <c r="H10" s="30"/>
      <c r="I10" s="15"/>
      <c r="J10" s="15"/>
      <c r="K10" s="15"/>
      <c r="L10" s="16"/>
    </row>
    <row r="11" spans="1:13">
      <c r="A11" s="27"/>
      <c r="E11" s="55"/>
      <c r="F11" s="28"/>
      <c r="H11" s="56"/>
    </row>
    <row r="12" spans="1:13" ht="15">
      <c r="A12" s="47"/>
    </row>
    <row r="14" spans="1:13" ht="30">
      <c r="A14" s="10" t="s">
        <v>115</v>
      </c>
      <c r="B14" s="5"/>
    </row>
    <row r="15" spans="1:13" ht="30" customHeight="1">
      <c r="A15" s="11" t="s">
        <v>116</v>
      </c>
      <c r="B15" s="5"/>
      <c r="L15" s="17"/>
    </row>
    <row r="16" spans="1:13" ht="30" customHeight="1">
      <c r="A16" s="11" t="s">
        <v>117</v>
      </c>
      <c r="B16" s="5"/>
      <c r="L16" s="32" t="s">
        <v>119</v>
      </c>
    </row>
    <row r="17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1157-5890-4E8E-B519-44F237E28D24}">
  <sheetPr>
    <pageSetUpPr fitToPage="1"/>
  </sheetPr>
  <dimension ref="A1:M56"/>
  <sheetViews>
    <sheetView topLeftCell="A10" workbookViewId="0">
      <selection activeCell="E23" sqref="E23"/>
    </sheetView>
    <sheetView workbookViewId="1"/>
    <sheetView workbookViewId="2">
      <selection activeCell="E9" sqref="E9:E31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767</v>
      </c>
      <c r="B1" s="210"/>
    </row>
    <row r="2" spans="1:13">
      <c r="B2" s="6" t="s">
        <v>1263</v>
      </c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78" t="s">
        <v>4</v>
      </c>
      <c r="B9" s="74" t="s">
        <v>1089</v>
      </c>
      <c r="C9" s="64" t="s">
        <v>415</v>
      </c>
      <c r="D9" s="64">
        <v>400</v>
      </c>
      <c r="E9" s="75"/>
      <c r="F9" s="75">
        <f>Tabela33[[#This Row],[Ilość]]*Tabela33[[#This Row],[C.j. netto]]</f>
        <v>0</v>
      </c>
      <c r="G9" s="37"/>
      <c r="H9" s="38"/>
      <c r="I9" s="37"/>
      <c r="J9" s="37"/>
      <c r="K9" s="37"/>
      <c r="L9" s="37"/>
    </row>
    <row r="10" spans="1:13" ht="25.5">
      <c r="A10" s="78" t="s">
        <v>5</v>
      </c>
      <c r="B10" s="74" t="s">
        <v>1090</v>
      </c>
      <c r="C10" s="64" t="s">
        <v>415</v>
      </c>
      <c r="D10" s="64">
        <v>70</v>
      </c>
      <c r="E10" s="75"/>
      <c r="F10" s="75">
        <f>Tabela33[[#This Row],[Ilość]]*Tabela33[[#This Row],[C.j. netto]]</f>
        <v>0</v>
      </c>
      <c r="G10" s="37"/>
      <c r="H10" s="38"/>
      <c r="I10" s="37"/>
      <c r="J10" s="37"/>
      <c r="K10" s="37"/>
      <c r="L10" s="37"/>
    </row>
    <row r="11" spans="1:13">
      <c r="A11" s="78" t="s">
        <v>6</v>
      </c>
      <c r="B11" s="74" t="s">
        <v>1091</v>
      </c>
      <c r="C11" s="64" t="s">
        <v>415</v>
      </c>
      <c r="D11" s="65">
        <v>3200</v>
      </c>
      <c r="E11" s="75"/>
      <c r="F11" s="75">
        <f>Tabela33[[#This Row],[Ilość]]*Tabela33[[#This Row],[C.j. netto]]</f>
        <v>0</v>
      </c>
      <c r="G11" s="37"/>
      <c r="H11" s="38"/>
      <c r="I11" s="37"/>
      <c r="J11" s="37"/>
      <c r="K11" s="37"/>
      <c r="L11" s="37"/>
    </row>
    <row r="12" spans="1:13">
      <c r="A12" s="78" t="s">
        <v>26</v>
      </c>
      <c r="B12" s="74" t="s">
        <v>1092</v>
      </c>
      <c r="C12" s="64" t="s">
        <v>415</v>
      </c>
      <c r="D12" s="65">
        <v>15000</v>
      </c>
      <c r="E12" s="75"/>
      <c r="F12" s="75">
        <f>Tabela33[[#This Row],[Ilość]]*Tabela33[[#This Row],[C.j. netto]]</f>
        <v>0</v>
      </c>
      <c r="G12" s="37"/>
      <c r="H12" s="38"/>
      <c r="I12" s="37"/>
      <c r="J12" s="37"/>
      <c r="K12" s="37"/>
      <c r="L12" s="37"/>
    </row>
    <row r="13" spans="1:13">
      <c r="A13" s="78" t="s">
        <v>27</v>
      </c>
      <c r="B13" s="74" t="s">
        <v>1093</v>
      </c>
      <c r="C13" s="64" t="s">
        <v>415</v>
      </c>
      <c r="D13" s="64">
        <v>400</v>
      </c>
      <c r="E13" s="75"/>
      <c r="F13" s="75">
        <f>Tabela33[[#This Row],[Ilość]]*Tabela33[[#This Row],[C.j. netto]]</f>
        <v>0</v>
      </c>
      <c r="G13" s="37"/>
      <c r="H13" s="38"/>
      <c r="I13" s="37"/>
      <c r="J13" s="37"/>
      <c r="K13" s="37"/>
      <c r="L13" s="37"/>
    </row>
    <row r="14" spans="1:13">
      <c r="A14" s="78" t="s">
        <v>32</v>
      </c>
      <c r="B14" s="74" t="s">
        <v>1094</v>
      </c>
      <c r="C14" s="64" t="s">
        <v>415</v>
      </c>
      <c r="D14" s="65">
        <v>1000</v>
      </c>
      <c r="E14" s="75"/>
      <c r="F14" s="75">
        <f>Tabela33[[#This Row],[Ilość]]*Tabela33[[#This Row],[C.j. netto]]</f>
        <v>0</v>
      </c>
      <c r="G14" s="37"/>
      <c r="H14" s="38"/>
      <c r="I14" s="37"/>
      <c r="J14" s="37"/>
      <c r="K14" s="37"/>
      <c r="L14" s="37"/>
    </row>
    <row r="15" spans="1:13">
      <c r="A15" s="78" t="s">
        <v>34</v>
      </c>
      <c r="B15" s="74" t="s">
        <v>1095</v>
      </c>
      <c r="C15" s="64" t="s">
        <v>415</v>
      </c>
      <c r="D15" s="65">
        <v>1200</v>
      </c>
      <c r="E15" s="75"/>
      <c r="F15" s="75">
        <f>Tabela33[[#This Row],[Ilość]]*Tabela33[[#This Row],[C.j. netto]]</f>
        <v>0</v>
      </c>
      <c r="G15" s="37"/>
      <c r="H15" s="38"/>
      <c r="I15" s="37"/>
      <c r="J15" s="37"/>
      <c r="K15" s="37"/>
      <c r="L15" s="37"/>
    </row>
    <row r="16" spans="1:13">
      <c r="A16" s="78" t="s">
        <v>36</v>
      </c>
      <c r="B16" s="74" t="s">
        <v>1096</v>
      </c>
      <c r="C16" s="64" t="s">
        <v>415</v>
      </c>
      <c r="D16" s="65">
        <v>4000</v>
      </c>
      <c r="E16" s="75"/>
      <c r="F16" s="75">
        <f>Tabela33[[#This Row],[Ilość]]*Tabela33[[#This Row],[C.j. netto]]</f>
        <v>0</v>
      </c>
      <c r="G16" s="37"/>
      <c r="H16" s="38"/>
      <c r="I16" s="37"/>
      <c r="J16" s="37"/>
      <c r="K16" s="37"/>
      <c r="L16" s="37"/>
    </row>
    <row r="17" spans="1:12">
      <c r="A17" s="78" t="s">
        <v>38</v>
      </c>
      <c r="B17" s="74" t="s">
        <v>1097</v>
      </c>
      <c r="C17" s="64" t="s">
        <v>16</v>
      </c>
      <c r="D17" s="64">
        <v>180</v>
      </c>
      <c r="E17" s="75"/>
      <c r="F17" s="75">
        <f>Tabela33[[#This Row],[Ilość]]*Tabela33[[#This Row],[C.j. netto]]</f>
        <v>0</v>
      </c>
      <c r="G17" s="37"/>
      <c r="H17" s="38"/>
      <c r="I17" s="37"/>
      <c r="J17" s="37"/>
      <c r="K17" s="37"/>
      <c r="L17" s="37"/>
    </row>
    <row r="18" spans="1:12" ht="25.5">
      <c r="A18" s="78" t="s">
        <v>40</v>
      </c>
      <c r="B18" s="74" t="s">
        <v>1098</v>
      </c>
      <c r="C18" s="64" t="s">
        <v>415</v>
      </c>
      <c r="D18" s="65">
        <v>120000</v>
      </c>
      <c r="E18" s="75"/>
      <c r="F18" s="75">
        <f>Tabela33[[#This Row],[Ilość]]*Tabela33[[#This Row],[C.j. netto]]</f>
        <v>0</v>
      </c>
      <c r="G18" s="37"/>
      <c r="H18" s="38"/>
      <c r="I18" s="37"/>
      <c r="J18" s="37"/>
      <c r="K18" s="37"/>
      <c r="L18" s="37"/>
    </row>
    <row r="19" spans="1:12" ht="25.5">
      <c r="A19" s="78" t="s">
        <v>42</v>
      </c>
      <c r="B19" s="74" t="s">
        <v>1099</v>
      </c>
      <c r="C19" s="64" t="s">
        <v>415</v>
      </c>
      <c r="D19" s="65">
        <v>25000</v>
      </c>
      <c r="E19" s="75"/>
      <c r="F19" s="75">
        <f>Tabela33[[#This Row],[Ilość]]*Tabela33[[#This Row],[C.j. netto]]</f>
        <v>0</v>
      </c>
      <c r="G19" s="37"/>
      <c r="H19" s="38"/>
      <c r="I19" s="37"/>
      <c r="J19" s="37"/>
      <c r="K19" s="37"/>
      <c r="L19" s="37"/>
    </row>
    <row r="20" spans="1:12" ht="25.5">
      <c r="A20" s="78" t="s">
        <v>45</v>
      </c>
      <c r="B20" s="74" t="s">
        <v>1100</v>
      </c>
      <c r="C20" s="64" t="s">
        <v>415</v>
      </c>
      <c r="D20" s="65">
        <v>40000</v>
      </c>
      <c r="E20" s="75"/>
      <c r="F20" s="75">
        <f>Tabela33[[#This Row],[Ilość]]*Tabela33[[#This Row],[C.j. netto]]</f>
        <v>0</v>
      </c>
      <c r="G20" s="37"/>
      <c r="H20" s="38"/>
      <c r="I20" s="37"/>
      <c r="J20" s="37"/>
      <c r="K20" s="37"/>
      <c r="L20" s="37"/>
    </row>
    <row r="21" spans="1:12">
      <c r="A21" s="78" t="s">
        <v>47</v>
      </c>
      <c r="B21" s="74" t="s">
        <v>1101</v>
      </c>
      <c r="C21" s="64" t="s">
        <v>415</v>
      </c>
      <c r="D21" s="65">
        <v>2600</v>
      </c>
      <c r="E21" s="75"/>
      <c r="F21" s="75">
        <f>Tabela33[[#This Row],[Ilość]]*Tabela33[[#This Row],[C.j. netto]]</f>
        <v>0</v>
      </c>
      <c r="G21" s="37"/>
      <c r="H21" s="38"/>
      <c r="I21" s="37"/>
      <c r="J21" s="37"/>
      <c r="K21" s="37"/>
      <c r="L21" s="37"/>
    </row>
    <row r="22" spans="1:12" ht="25.5">
      <c r="A22" s="78" t="s">
        <v>48</v>
      </c>
      <c r="B22" s="74" t="s">
        <v>1102</v>
      </c>
      <c r="C22" s="64" t="s">
        <v>415</v>
      </c>
      <c r="D22" s="64">
        <v>220</v>
      </c>
      <c r="E22" s="75"/>
      <c r="F22" s="207">
        <f>Tabela33[[#This Row],[Ilość]]*Tabela33[[#This Row],[C.j. netto]]</f>
        <v>0</v>
      </c>
      <c r="G22" s="37"/>
      <c r="H22" s="38"/>
      <c r="I22" s="37"/>
      <c r="J22" s="37"/>
      <c r="K22" s="37"/>
      <c r="L22" s="37"/>
    </row>
    <row r="23" spans="1:12" ht="25.5">
      <c r="A23" s="78" t="s">
        <v>49</v>
      </c>
      <c r="B23" s="74" t="s">
        <v>1356</v>
      </c>
      <c r="C23" s="64" t="s">
        <v>415</v>
      </c>
      <c r="D23" s="64">
        <v>100</v>
      </c>
      <c r="E23" s="75"/>
      <c r="F23" s="75">
        <f>Tabela33[[#This Row],[Ilość]]*Tabela33[[#This Row],[C.j. netto]]</f>
        <v>0</v>
      </c>
      <c r="G23" s="37"/>
      <c r="H23" s="38"/>
      <c r="I23" s="37"/>
      <c r="J23" s="37"/>
      <c r="K23" s="37"/>
      <c r="L23" s="37"/>
    </row>
    <row r="24" spans="1:12" ht="89.25">
      <c r="A24" s="78" t="s">
        <v>50</v>
      </c>
      <c r="B24" s="74" t="s">
        <v>1107</v>
      </c>
      <c r="C24" s="64" t="s">
        <v>415</v>
      </c>
      <c r="D24" s="65">
        <v>70000</v>
      </c>
      <c r="E24" s="75"/>
      <c r="F24" s="75">
        <f>Tabela33[[#This Row],[Ilość]]*Tabela33[[#This Row],[C.j. netto]]</f>
        <v>0</v>
      </c>
      <c r="G24" s="37"/>
      <c r="H24" s="38"/>
      <c r="I24" s="37"/>
      <c r="J24" s="37"/>
      <c r="K24" s="37"/>
      <c r="L24" s="37"/>
    </row>
    <row r="25" spans="1:12" ht="89.25">
      <c r="A25" s="78" t="s">
        <v>52</v>
      </c>
      <c r="B25" s="74" t="s">
        <v>1108</v>
      </c>
      <c r="C25" s="64" t="s">
        <v>415</v>
      </c>
      <c r="D25" s="64">
        <v>3000</v>
      </c>
      <c r="E25" s="75"/>
      <c r="F25" s="75">
        <f>Tabela33[[#This Row],[Ilość]]*Tabela33[[#This Row],[C.j. netto]]</f>
        <v>0</v>
      </c>
      <c r="G25" s="37"/>
      <c r="H25" s="38"/>
      <c r="I25" s="37"/>
      <c r="J25" s="37"/>
      <c r="K25" s="37"/>
      <c r="L25" s="37"/>
    </row>
    <row r="26" spans="1:12" ht="25.5">
      <c r="A26" s="78" t="s">
        <v>54</v>
      </c>
      <c r="B26" s="74" t="s">
        <v>1103</v>
      </c>
      <c r="C26" s="64" t="s">
        <v>415</v>
      </c>
      <c r="D26" s="65">
        <v>2000</v>
      </c>
      <c r="E26" s="75"/>
      <c r="F26" s="75">
        <f>Tabela33[[#This Row],[Ilość]]*Tabela33[[#This Row],[C.j. netto]]</f>
        <v>0</v>
      </c>
      <c r="G26" s="37"/>
      <c r="H26" s="38"/>
      <c r="I26" s="37"/>
      <c r="J26" s="37"/>
      <c r="K26" s="37"/>
      <c r="L26" s="37"/>
    </row>
    <row r="27" spans="1:12">
      <c r="A27" s="78" t="s">
        <v>56</v>
      </c>
      <c r="B27" s="74" t="s">
        <v>1104</v>
      </c>
      <c r="C27" s="64" t="s">
        <v>415</v>
      </c>
      <c r="D27" s="65">
        <v>2000</v>
      </c>
      <c r="E27" s="75"/>
      <c r="F27" s="75">
        <f>Tabela33[[#This Row],[Ilość]]*Tabela33[[#This Row],[C.j. netto]]</f>
        <v>0</v>
      </c>
      <c r="G27" s="37"/>
      <c r="H27" s="38"/>
      <c r="I27" s="37"/>
      <c r="J27" s="37"/>
      <c r="K27" s="37"/>
      <c r="L27" s="37"/>
    </row>
    <row r="28" spans="1:12" ht="51">
      <c r="A28" s="78" t="s">
        <v>57</v>
      </c>
      <c r="B28" s="74" t="s">
        <v>1109</v>
      </c>
      <c r="C28" s="64" t="s">
        <v>415</v>
      </c>
      <c r="D28" s="65">
        <v>3200</v>
      </c>
      <c r="E28" s="75"/>
      <c r="F28" s="75">
        <f>Tabela33[[#This Row],[Ilość]]*Tabela33[[#This Row],[C.j. netto]]</f>
        <v>0</v>
      </c>
      <c r="G28" s="37"/>
      <c r="H28" s="38"/>
      <c r="I28" s="37"/>
      <c r="J28" s="37"/>
      <c r="K28" s="37"/>
      <c r="L28" s="37"/>
    </row>
    <row r="29" spans="1:12">
      <c r="A29" s="78" t="s">
        <v>59</v>
      </c>
      <c r="B29" s="74" t="s">
        <v>1105</v>
      </c>
      <c r="C29" s="64" t="s">
        <v>16</v>
      </c>
      <c r="D29" s="64">
        <v>4</v>
      </c>
      <c r="E29" s="75"/>
      <c r="F29" s="75">
        <f>Tabela33[[#This Row],[Ilość]]*Tabela33[[#This Row],[C.j. netto]]</f>
        <v>0</v>
      </c>
      <c r="G29" s="37"/>
      <c r="H29" s="38"/>
      <c r="I29" s="37"/>
      <c r="J29" s="37"/>
      <c r="K29" s="37"/>
      <c r="L29" s="37"/>
    </row>
    <row r="30" spans="1:12">
      <c r="A30" s="78" t="s">
        <v>61</v>
      </c>
      <c r="B30" s="77" t="s">
        <v>1106</v>
      </c>
      <c r="C30" s="64" t="s">
        <v>415</v>
      </c>
      <c r="D30" s="65">
        <v>2500</v>
      </c>
      <c r="E30" s="75"/>
      <c r="F30" s="75">
        <f>Tabela33[[#This Row],[Ilość]]*Tabela33[[#This Row],[C.j. netto]]</f>
        <v>0</v>
      </c>
      <c r="G30" s="37"/>
      <c r="H30" s="38"/>
      <c r="I30" s="37"/>
      <c r="J30" s="37"/>
      <c r="K30" s="37"/>
      <c r="L30" s="37"/>
    </row>
    <row r="31" spans="1:12" ht="76.5">
      <c r="A31" s="78" t="s">
        <v>63</v>
      </c>
      <c r="B31" s="74" t="s">
        <v>1340</v>
      </c>
      <c r="C31" s="64" t="s">
        <v>415</v>
      </c>
      <c r="D31" s="64">
        <v>20</v>
      </c>
      <c r="E31" s="101"/>
      <c r="F31" s="75">
        <f>Tabela33[[#This Row],[Ilość]]*Tabela33[[#This Row],[C.j. netto]]</f>
        <v>0</v>
      </c>
      <c r="G31" s="37"/>
      <c r="H31" s="38"/>
      <c r="I31" s="37"/>
      <c r="J31" s="37"/>
      <c r="K31" s="37"/>
      <c r="L31" s="37"/>
    </row>
    <row r="32" spans="1:12">
      <c r="A32" s="102" t="s">
        <v>118</v>
      </c>
      <c r="B32" s="58"/>
      <c r="C32" s="25"/>
      <c r="D32" s="25"/>
      <c r="E32" s="12"/>
      <c r="F32" s="61">
        <f>SUBTOTAL(109,Tabela33[Wartość netto])</f>
        <v>0</v>
      </c>
      <c r="G32" s="12"/>
      <c r="H32" s="25"/>
      <c r="I32" s="12"/>
      <c r="J32" s="12"/>
      <c r="K32" s="12"/>
      <c r="L32" s="12"/>
    </row>
    <row r="33" spans="1:12">
      <c r="A33" s="27"/>
      <c r="B33" s="60"/>
      <c r="E33"/>
      <c r="F33" s="28"/>
      <c r="H33" s="24"/>
    </row>
    <row r="34" spans="1:12">
      <c r="A34" s="27"/>
      <c r="B34" s="60"/>
      <c r="E34"/>
      <c r="F34" s="28"/>
      <c r="H34" s="24"/>
    </row>
    <row r="35" spans="1:12" ht="30">
      <c r="A35" s="10" t="s">
        <v>115</v>
      </c>
      <c r="B35" s="5"/>
    </row>
    <row r="36" spans="1:12" ht="15">
      <c r="A36" s="11" t="s">
        <v>116</v>
      </c>
      <c r="B36" s="5"/>
      <c r="L36" s="17"/>
    </row>
    <row r="37" spans="1:12" ht="15">
      <c r="A37" s="11" t="s">
        <v>117</v>
      </c>
      <c r="B37" s="5"/>
      <c r="L37" s="32" t="s">
        <v>119</v>
      </c>
    </row>
    <row r="53" ht="30" customHeight="1"/>
    <row r="54" ht="30" customHeight="1"/>
    <row r="55" ht="30" customHeight="1"/>
    <row r="56" ht="30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E0195-A649-4D4F-9FF6-1EBED2951A08}">
  <sheetPr>
    <pageSetUpPr fitToPage="1"/>
  </sheetPr>
  <dimension ref="A1:M62"/>
  <sheetViews>
    <sheetView zoomScale="115" zoomScaleNormal="115" workbookViewId="0">
      <selection activeCell="B16" sqref="B16"/>
    </sheetView>
    <sheetView workbookViewId="1"/>
    <sheetView workbookViewId="2">
      <selection activeCell="E9" sqref="E9:E43"/>
    </sheetView>
  </sheetViews>
  <sheetFormatPr defaultRowHeight="14.25"/>
  <cols>
    <col min="1" max="1" width="14.125" customWidth="1"/>
    <col min="2" max="2" width="52.625" style="6" customWidth="1"/>
    <col min="3" max="4" width="9" style="148"/>
    <col min="5" max="5" width="13.375" style="151" customWidth="1"/>
    <col min="6" max="6" width="18" style="151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768</v>
      </c>
      <c r="B1" s="193"/>
    </row>
    <row r="2" spans="1:13">
      <c r="B2" s="6" t="s">
        <v>1264</v>
      </c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80" t="s">
        <v>4</v>
      </c>
      <c r="B9" s="77" t="s">
        <v>1110</v>
      </c>
      <c r="C9" s="105" t="s">
        <v>16</v>
      </c>
      <c r="D9" s="105">
        <v>200</v>
      </c>
      <c r="E9" s="114"/>
      <c r="F9" s="114">
        <f>Tabela34[[#This Row],[Ilość]]*Tabela34[[#This Row],[C.j. netto]]</f>
        <v>0</v>
      </c>
      <c r="G9" s="37"/>
      <c r="H9" s="38"/>
      <c r="I9" s="37"/>
      <c r="J9" s="37"/>
      <c r="K9" s="37"/>
      <c r="L9" s="39"/>
    </row>
    <row r="10" spans="1:13" ht="38.25">
      <c r="A10" s="80" t="s">
        <v>5</v>
      </c>
      <c r="B10" s="77" t="s">
        <v>1111</v>
      </c>
      <c r="C10" s="105" t="s">
        <v>327</v>
      </c>
      <c r="D10" s="106">
        <v>5000</v>
      </c>
      <c r="E10" s="114"/>
      <c r="F10" s="114">
        <f>Tabela34[[#This Row],[Ilość]]*Tabela34[[#This Row],[C.j. netto]]</f>
        <v>0</v>
      </c>
      <c r="G10" s="37"/>
      <c r="H10" s="38"/>
      <c r="I10" s="66"/>
      <c r="J10" s="37"/>
      <c r="K10" s="37"/>
      <c r="L10" s="39"/>
    </row>
    <row r="11" spans="1:13" ht="38.25">
      <c r="A11" s="80" t="s">
        <v>6</v>
      </c>
      <c r="B11" s="77" t="s">
        <v>1112</v>
      </c>
      <c r="C11" s="105" t="s">
        <v>327</v>
      </c>
      <c r="D11" s="105">
        <v>1000</v>
      </c>
      <c r="E11" s="114"/>
      <c r="F11" s="114">
        <f>Tabela34[[#This Row],[Ilość]]*Tabela34[[#This Row],[C.j. netto]]</f>
        <v>0</v>
      </c>
      <c r="G11" s="37"/>
      <c r="H11" s="38"/>
      <c r="I11" s="37"/>
      <c r="J11" s="37"/>
      <c r="K11" s="37"/>
      <c r="L11" s="39"/>
    </row>
    <row r="12" spans="1:13" ht="51">
      <c r="A12" s="80" t="s">
        <v>26</v>
      </c>
      <c r="B12" s="77" t="s">
        <v>1113</v>
      </c>
      <c r="C12" s="105" t="s">
        <v>16</v>
      </c>
      <c r="D12" s="105">
        <v>10</v>
      </c>
      <c r="E12" s="114"/>
      <c r="F12" s="114">
        <f>Tabela34[[#This Row],[Ilość]]*Tabela34[[#This Row],[C.j. netto]]</f>
        <v>0</v>
      </c>
      <c r="G12" s="37"/>
      <c r="H12" s="38"/>
      <c r="I12" s="37"/>
      <c r="J12" s="37"/>
      <c r="K12" s="37"/>
      <c r="L12" s="39"/>
    </row>
    <row r="13" spans="1:13" ht="51">
      <c r="A13" s="80" t="s">
        <v>27</v>
      </c>
      <c r="B13" s="77" t="s">
        <v>1114</v>
      </c>
      <c r="C13" s="105" t="s">
        <v>29</v>
      </c>
      <c r="D13" s="105">
        <v>50</v>
      </c>
      <c r="E13" s="114"/>
      <c r="F13" s="114">
        <f>Tabela34[[#This Row],[Ilość]]*Tabela34[[#This Row],[C.j. netto]]</f>
        <v>0</v>
      </c>
      <c r="G13" s="37"/>
      <c r="H13" s="38"/>
      <c r="I13" s="37"/>
      <c r="J13" s="37"/>
      <c r="K13" s="37"/>
      <c r="L13" s="39"/>
    </row>
    <row r="14" spans="1:13" ht="25.5">
      <c r="A14" s="80" t="s">
        <v>32</v>
      </c>
      <c r="B14" s="77" t="s">
        <v>1115</v>
      </c>
      <c r="C14" s="105" t="s">
        <v>29</v>
      </c>
      <c r="D14" s="105">
        <v>50</v>
      </c>
      <c r="E14" s="114"/>
      <c r="F14" s="114">
        <f>Tabela34[[#This Row],[Ilość]]*Tabela34[[#This Row],[C.j. netto]]</f>
        <v>0</v>
      </c>
      <c r="G14" s="37"/>
      <c r="H14" s="38"/>
      <c r="I14" s="37"/>
      <c r="J14" s="37"/>
      <c r="K14" s="37"/>
      <c r="L14" s="39"/>
    </row>
    <row r="15" spans="1:13" ht="38.25">
      <c r="A15" s="80" t="s">
        <v>34</v>
      </c>
      <c r="B15" s="77" t="s">
        <v>1116</v>
      </c>
      <c r="C15" s="105" t="s">
        <v>327</v>
      </c>
      <c r="D15" s="105">
        <v>400</v>
      </c>
      <c r="E15" s="114"/>
      <c r="F15" s="114">
        <f>Tabela34[[#This Row],[Ilość]]*Tabela34[[#This Row],[C.j. netto]]</f>
        <v>0</v>
      </c>
      <c r="G15" s="37"/>
      <c r="H15" s="38"/>
      <c r="I15" s="37"/>
      <c r="J15" s="37"/>
      <c r="K15" s="37"/>
      <c r="L15" s="39"/>
    </row>
    <row r="16" spans="1:13" ht="38.25">
      <c r="A16" s="80" t="s">
        <v>36</v>
      </c>
      <c r="B16" s="77" t="s">
        <v>1117</v>
      </c>
      <c r="C16" s="105" t="s">
        <v>327</v>
      </c>
      <c r="D16" s="105">
        <v>300</v>
      </c>
      <c r="E16" s="114"/>
      <c r="F16" s="114">
        <f>Tabela34[[#This Row],[Ilość]]*Tabela34[[#This Row],[C.j. netto]]</f>
        <v>0</v>
      </c>
      <c r="G16" s="37"/>
      <c r="H16" s="38"/>
      <c r="I16" s="37"/>
      <c r="J16" s="37"/>
      <c r="K16" s="37"/>
      <c r="L16" s="39"/>
    </row>
    <row r="17" spans="1:12" ht="25.5">
      <c r="A17" s="80" t="s">
        <v>38</v>
      </c>
      <c r="B17" s="77" t="s">
        <v>1118</v>
      </c>
      <c r="C17" s="105" t="s">
        <v>29</v>
      </c>
      <c r="D17" s="105">
        <v>50</v>
      </c>
      <c r="E17" s="114"/>
      <c r="F17" s="114">
        <f>Tabela34[[#This Row],[Ilość]]*Tabela34[[#This Row],[C.j. netto]]</f>
        <v>0</v>
      </c>
      <c r="G17" s="37"/>
      <c r="H17" s="38"/>
      <c r="I17" s="37"/>
      <c r="J17" s="37"/>
      <c r="K17" s="37"/>
      <c r="L17" s="39"/>
    </row>
    <row r="18" spans="1:12" ht="25.5">
      <c r="A18" s="80" t="s">
        <v>40</v>
      </c>
      <c r="B18" s="77" t="s">
        <v>1119</v>
      </c>
      <c r="C18" s="105" t="s">
        <v>327</v>
      </c>
      <c r="D18" s="106">
        <v>4000</v>
      </c>
      <c r="E18" s="114"/>
      <c r="F18" s="114">
        <f>Tabela34[[#This Row],[Ilość]]*Tabela34[[#This Row],[C.j. netto]]</f>
        <v>0</v>
      </c>
      <c r="G18" s="37"/>
      <c r="H18" s="38"/>
      <c r="I18" s="37"/>
      <c r="J18" s="37"/>
      <c r="K18" s="37"/>
      <c r="L18" s="39"/>
    </row>
    <row r="19" spans="1:12" ht="38.25">
      <c r="A19" s="80" t="s">
        <v>42</v>
      </c>
      <c r="B19" s="77" t="s">
        <v>1120</v>
      </c>
      <c r="C19" s="105" t="s">
        <v>327</v>
      </c>
      <c r="D19" s="106">
        <v>7000</v>
      </c>
      <c r="E19" s="114"/>
      <c r="F19" s="114">
        <f>Tabela34[[#This Row],[Ilość]]*Tabela34[[#This Row],[C.j. netto]]</f>
        <v>0</v>
      </c>
      <c r="G19" s="37"/>
      <c r="H19" s="38"/>
      <c r="I19" s="66"/>
      <c r="J19" s="37"/>
      <c r="K19" s="37"/>
      <c r="L19" s="39"/>
    </row>
    <row r="20" spans="1:12">
      <c r="A20" s="80" t="s">
        <v>45</v>
      </c>
      <c r="B20" s="77" t="s">
        <v>1121</v>
      </c>
      <c r="C20" s="105" t="s">
        <v>29</v>
      </c>
      <c r="D20" s="105">
        <v>220</v>
      </c>
      <c r="E20" s="114"/>
      <c r="F20" s="114">
        <f>Tabela34[[#This Row],[Ilość]]*Tabela34[[#This Row],[C.j. netto]]</f>
        <v>0</v>
      </c>
      <c r="G20" s="37"/>
      <c r="H20" s="38"/>
      <c r="I20" s="37"/>
      <c r="J20" s="37"/>
      <c r="K20" s="37"/>
      <c r="L20" s="39"/>
    </row>
    <row r="21" spans="1:12" ht="38.25">
      <c r="A21" s="80" t="s">
        <v>47</v>
      </c>
      <c r="B21" s="77" t="s">
        <v>1122</v>
      </c>
      <c r="C21" s="105" t="s">
        <v>29</v>
      </c>
      <c r="D21" s="105">
        <v>25</v>
      </c>
      <c r="E21" s="114"/>
      <c r="F21" s="114">
        <f>Tabela34[[#This Row],[Ilość]]*Tabela34[[#This Row],[C.j. netto]]</f>
        <v>0</v>
      </c>
      <c r="G21" s="37"/>
      <c r="H21" s="38"/>
      <c r="I21" s="66"/>
      <c r="J21" s="37"/>
      <c r="K21" s="37"/>
      <c r="L21" s="39"/>
    </row>
    <row r="22" spans="1:12">
      <c r="A22" s="80" t="s">
        <v>48</v>
      </c>
      <c r="B22" s="77" t="s">
        <v>1123</v>
      </c>
      <c r="C22" s="105" t="s">
        <v>29</v>
      </c>
      <c r="D22" s="105">
        <v>140</v>
      </c>
      <c r="E22" s="114"/>
      <c r="F22" s="114">
        <f>Tabela34[[#This Row],[Ilość]]*Tabela34[[#This Row],[C.j. netto]]</f>
        <v>0</v>
      </c>
      <c r="G22" s="37"/>
      <c r="H22" s="38"/>
      <c r="I22" s="37"/>
      <c r="J22" s="37"/>
      <c r="K22" s="37"/>
      <c r="L22" s="39"/>
    </row>
    <row r="23" spans="1:12" ht="153">
      <c r="A23" s="80" t="s">
        <v>49</v>
      </c>
      <c r="B23" s="77" t="s">
        <v>1124</v>
      </c>
      <c r="C23" s="105" t="s">
        <v>29</v>
      </c>
      <c r="D23" s="105">
        <v>100</v>
      </c>
      <c r="E23" s="114"/>
      <c r="F23" s="114">
        <f>Tabela34[[#This Row],[Ilość]]*Tabela34[[#This Row],[C.j. netto]]</f>
        <v>0</v>
      </c>
      <c r="G23" s="37"/>
      <c r="H23" s="38"/>
      <c r="I23" s="37"/>
      <c r="J23" s="37"/>
      <c r="K23" s="37"/>
      <c r="L23" s="39"/>
    </row>
    <row r="24" spans="1:12" ht="25.5">
      <c r="A24" s="80" t="s">
        <v>50</v>
      </c>
      <c r="B24" s="77" t="s">
        <v>1125</v>
      </c>
      <c r="C24" s="105" t="s">
        <v>16</v>
      </c>
      <c r="D24" s="105">
        <v>120</v>
      </c>
      <c r="E24" s="114"/>
      <c r="F24" s="114">
        <f>Tabela34[[#This Row],[Ilość]]*Tabela34[[#This Row],[C.j. netto]]</f>
        <v>0</v>
      </c>
      <c r="G24" s="37"/>
      <c r="H24" s="38"/>
      <c r="I24" s="37"/>
      <c r="J24" s="37"/>
      <c r="K24" s="37"/>
      <c r="L24" s="39"/>
    </row>
    <row r="25" spans="1:12" ht="38.25">
      <c r="A25" s="80" t="s">
        <v>52</v>
      </c>
      <c r="B25" s="77" t="s">
        <v>1126</v>
      </c>
      <c r="C25" s="105" t="s">
        <v>327</v>
      </c>
      <c r="D25" s="106">
        <v>70000</v>
      </c>
      <c r="E25" s="114"/>
      <c r="F25" s="114">
        <f>Tabela34[[#This Row],[Ilość]]*Tabela34[[#This Row],[C.j. netto]]</f>
        <v>0</v>
      </c>
      <c r="G25" s="37"/>
      <c r="H25" s="38"/>
      <c r="I25" s="37"/>
      <c r="J25" s="37"/>
      <c r="K25" s="37"/>
      <c r="L25" s="39"/>
    </row>
    <row r="26" spans="1:12" ht="38.25">
      <c r="A26" s="80" t="s">
        <v>1296</v>
      </c>
      <c r="B26" s="77" t="s">
        <v>1127</v>
      </c>
      <c r="C26" s="105" t="s">
        <v>327</v>
      </c>
      <c r="D26" s="106">
        <v>25000</v>
      </c>
      <c r="E26" s="114"/>
      <c r="F26" s="114">
        <f>Tabela34[[#This Row],[Ilość]]*Tabela34[[#This Row],[C.j. netto]]</f>
        <v>0</v>
      </c>
      <c r="G26" s="37"/>
      <c r="H26" s="38"/>
      <c r="I26" s="37"/>
      <c r="J26" s="37"/>
      <c r="K26" s="37"/>
      <c r="L26" s="39"/>
    </row>
    <row r="27" spans="1:12" ht="38.25">
      <c r="A27" s="80" t="s">
        <v>56</v>
      </c>
      <c r="B27" s="77" t="s">
        <v>1128</v>
      </c>
      <c r="C27" s="105" t="s">
        <v>327</v>
      </c>
      <c r="D27" s="106">
        <v>10000</v>
      </c>
      <c r="E27" s="114"/>
      <c r="F27" s="114">
        <f>Tabela34[[#This Row],[Ilość]]*Tabela34[[#This Row],[C.j. netto]]</f>
        <v>0</v>
      </c>
      <c r="G27" s="37"/>
      <c r="H27" s="38"/>
      <c r="I27" s="37"/>
      <c r="J27" s="37"/>
      <c r="K27" s="37"/>
      <c r="L27" s="39"/>
    </row>
    <row r="28" spans="1:12" ht="38.25">
      <c r="A28" s="80" t="s">
        <v>57</v>
      </c>
      <c r="B28" s="77" t="s">
        <v>1129</v>
      </c>
      <c r="C28" s="105" t="s">
        <v>327</v>
      </c>
      <c r="D28" s="106">
        <v>30000</v>
      </c>
      <c r="E28" s="114"/>
      <c r="F28" s="114">
        <f>Tabela34[[#This Row],[Ilość]]*Tabela34[[#This Row],[C.j. netto]]</f>
        <v>0</v>
      </c>
      <c r="G28" s="37"/>
      <c r="H28" s="38"/>
      <c r="I28" s="37"/>
      <c r="J28" s="37"/>
      <c r="K28" s="37"/>
      <c r="L28" s="39"/>
    </row>
    <row r="29" spans="1:12" ht="25.5">
      <c r="A29" s="80" t="s">
        <v>59</v>
      </c>
      <c r="B29" s="77" t="s">
        <v>1130</v>
      </c>
      <c r="C29" s="105" t="s">
        <v>415</v>
      </c>
      <c r="D29" s="106">
        <v>11000</v>
      </c>
      <c r="E29" s="114"/>
      <c r="F29" s="114">
        <f>Tabela34[[#This Row],[Ilość]]*Tabela34[[#This Row],[C.j. netto]]</f>
        <v>0</v>
      </c>
      <c r="G29" s="37"/>
      <c r="H29" s="38"/>
      <c r="I29" s="66"/>
      <c r="J29" s="37"/>
      <c r="K29" s="37"/>
      <c r="L29" s="39"/>
    </row>
    <row r="30" spans="1:12" ht="25.5">
      <c r="A30" s="80" t="s">
        <v>61</v>
      </c>
      <c r="B30" s="34" t="s">
        <v>1242</v>
      </c>
      <c r="C30" s="105" t="s">
        <v>29</v>
      </c>
      <c r="D30" s="105">
        <v>150</v>
      </c>
      <c r="E30" s="114"/>
      <c r="F30" s="114">
        <f>Tabela34[[#This Row],[Ilość]]*Tabela34[[#This Row],[C.j. netto]]</f>
        <v>0</v>
      </c>
      <c r="G30" s="37"/>
      <c r="H30" s="38"/>
      <c r="I30" s="66"/>
      <c r="J30" s="37"/>
      <c r="K30" s="37"/>
      <c r="L30" s="39"/>
    </row>
    <row r="31" spans="1:12">
      <c r="A31" s="80" t="s">
        <v>63</v>
      </c>
      <c r="B31" s="77" t="s">
        <v>1131</v>
      </c>
      <c r="C31" s="105" t="s">
        <v>29</v>
      </c>
      <c r="D31" s="106">
        <v>3500</v>
      </c>
      <c r="E31" s="114"/>
      <c r="F31" s="114">
        <f>Tabela34[[#This Row],[Ilość]]*Tabela34[[#This Row],[C.j. netto]]</f>
        <v>0</v>
      </c>
      <c r="G31" s="37"/>
      <c r="H31" s="38"/>
      <c r="I31" s="37"/>
      <c r="J31" s="37"/>
      <c r="K31" s="37"/>
      <c r="L31" s="39"/>
    </row>
    <row r="32" spans="1:12" ht="38.25">
      <c r="A32" s="80" t="s">
        <v>65</v>
      </c>
      <c r="B32" s="77" t="s">
        <v>1132</v>
      </c>
      <c r="C32" s="105" t="s">
        <v>415</v>
      </c>
      <c r="D32" s="105">
        <v>50</v>
      </c>
      <c r="E32" s="114"/>
      <c r="F32" s="114">
        <f>Tabela34[[#This Row],[Ilość]]*Tabela34[[#This Row],[C.j. netto]]</f>
        <v>0</v>
      </c>
      <c r="G32" s="37"/>
      <c r="H32" s="38"/>
      <c r="I32" s="37"/>
      <c r="J32" s="37"/>
      <c r="K32" s="37"/>
      <c r="L32" s="39"/>
    </row>
    <row r="33" spans="1:12" ht="38.25">
      <c r="A33" s="80" t="s">
        <v>67</v>
      </c>
      <c r="B33" s="77" t="s">
        <v>1133</v>
      </c>
      <c r="C33" s="105" t="s">
        <v>415</v>
      </c>
      <c r="D33" s="106">
        <v>1800</v>
      </c>
      <c r="E33" s="114"/>
      <c r="F33" s="114">
        <f>Tabela34[[#This Row],[Ilość]]*Tabela34[[#This Row],[C.j. netto]]</f>
        <v>0</v>
      </c>
      <c r="G33" s="37"/>
      <c r="H33" s="38"/>
      <c r="I33" s="37"/>
      <c r="J33" s="37"/>
      <c r="K33" s="37"/>
      <c r="L33" s="39"/>
    </row>
    <row r="34" spans="1:12" ht="38.25">
      <c r="A34" s="80" t="s">
        <v>69</v>
      </c>
      <c r="B34" s="77" t="s">
        <v>1134</v>
      </c>
      <c r="C34" s="105" t="s">
        <v>327</v>
      </c>
      <c r="D34" s="105">
        <v>450</v>
      </c>
      <c r="E34" s="114"/>
      <c r="F34" s="114">
        <f>Tabela34[[#This Row],[Ilość]]*Tabela34[[#This Row],[C.j. netto]]</f>
        <v>0</v>
      </c>
      <c r="G34" s="37"/>
      <c r="H34" s="38"/>
      <c r="I34" s="66"/>
      <c r="J34" s="37"/>
      <c r="K34" s="37"/>
      <c r="L34" s="39"/>
    </row>
    <row r="35" spans="1:12" ht="25.5">
      <c r="A35" s="80" t="s">
        <v>71</v>
      </c>
      <c r="B35" s="77" t="s">
        <v>1135</v>
      </c>
      <c r="C35" s="105" t="s">
        <v>415</v>
      </c>
      <c r="D35" s="105">
        <v>450</v>
      </c>
      <c r="E35" s="114"/>
      <c r="F35" s="114">
        <f>Tabela34[[#This Row],[Ilość]]*Tabela34[[#This Row],[C.j. netto]]</f>
        <v>0</v>
      </c>
      <c r="G35" s="37"/>
      <c r="H35" s="38"/>
      <c r="I35" s="66"/>
      <c r="J35" s="37"/>
      <c r="K35" s="37"/>
      <c r="L35" s="39"/>
    </row>
    <row r="36" spans="1:12" ht="63.75">
      <c r="A36" s="80" t="s">
        <v>73</v>
      </c>
      <c r="B36" s="77" t="s">
        <v>1136</v>
      </c>
      <c r="C36" s="105" t="s">
        <v>29</v>
      </c>
      <c r="D36" s="105">
        <v>130</v>
      </c>
      <c r="E36" s="114"/>
      <c r="F36" s="114">
        <f>Tabela34[[#This Row],[Ilość]]*Tabela34[[#This Row],[C.j. netto]]</f>
        <v>0</v>
      </c>
      <c r="G36" s="37"/>
      <c r="H36" s="38"/>
      <c r="I36" s="37"/>
      <c r="J36" s="37"/>
      <c r="K36" s="37"/>
      <c r="L36" s="39"/>
    </row>
    <row r="37" spans="1:12" ht="63.75">
      <c r="A37" s="80" t="s">
        <v>77</v>
      </c>
      <c r="B37" s="77" t="s">
        <v>1137</v>
      </c>
      <c r="C37" s="105" t="s">
        <v>29</v>
      </c>
      <c r="D37" s="105">
        <v>20</v>
      </c>
      <c r="E37" s="114"/>
      <c r="F37" s="114">
        <f>Tabela34[[#This Row],[Ilość]]*Tabela34[[#This Row],[C.j. netto]]</f>
        <v>0</v>
      </c>
      <c r="G37" s="37"/>
      <c r="H37" s="38"/>
      <c r="I37" s="37"/>
      <c r="J37" s="37"/>
      <c r="K37" s="37"/>
      <c r="L37" s="39"/>
    </row>
    <row r="38" spans="1:12" ht="63.75">
      <c r="A38" s="80" t="s">
        <v>79</v>
      </c>
      <c r="B38" s="77" t="s">
        <v>1138</v>
      </c>
      <c r="C38" s="105" t="s">
        <v>29</v>
      </c>
      <c r="D38" s="105">
        <v>120</v>
      </c>
      <c r="E38" s="114"/>
      <c r="F38" s="114">
        <f>Tabela34[[#This Row],[Ilość]]*Tabela34[[#This Row],[C.j. netto]]</f>
        <v>0</v>
      </c>
      <c r="G38" s="37"/>
      <c r="H38" s="38"/>
      <c r="I38" s="66"/>
      <c r="J38" s="37"/>
      <c r="K38" s="37"/>
      <c r="L38" s="39"/>
    </row>
    <row r="39" spans="1:12" ht="63.75">
      <c r="A39" s="80" t="s">
        <v>81</v>
      </c>
      <c r="B39" s="77" t="s">
        <v>1139</v>
      </c>
      <c r="C39" s="105" t="s">
        <v>29</v>
      </c>
      <c r="D39" s="105">
        <v>60</v>
      </c>
      <c r="E39" s="114"/>
      <c r="F39" s="114">
        <f>Tabela34[[#This Row],[Ilość]]*Tabela34[[#This Row],[C.j. netto]]</f>
        <v>0</v>
      </c>
      <c r="G39" s="37"/>
      <c r="H39" s="38"/>
      <c r="I39" s="37"/>
      <c r="J39" s="37"/>
      <c r="K39" s="37"/>
      <c r="L39" s="39"/>
    </row>
    <row r="40" spans="1:12">
      <c r="A40" s="221" t="s">
        <v>83</v>
      </c>
      <c r="B40" s="81" t="s">
        <v>1140</v>
      </c>
      <c r="C40" s="149" t="s">
        <v>29</v>
      </c>
      <c r="D40" s="149">
        <v>45</v>
      </c>
      <c r="E40" s="152"/>
      <c r="F40" s="114">
        <f>Tabela34[[#This Row],[Ilość]]*Tabela34[[#This Row],[C.j. netto]]</f>
        <v>0</v>
      </c>
      <c r="G40" s="44"/>
      <c r="H40" s="45"/>
      <c r="I40" s="44"/>
      <c r="J40" s="44"/>
      <c r="K40" s="44"/>
      <c r="L40" s="46"/>
    </row>
    <row r="41" spans="1:12">
      <c r="A41" s="76" t="s">
        <v>84</v>
      </c>
      <c r="B41" s="77" t="s">
        <v>1141</v>
      </c>
      <c r="C41" s="105" t="s">
        <v>29</v>
      </c>
      <c r="D41" s="105">
        <v>45</v>
      </c>
      <c r="E41" s="114"/>
      <c r="F41" s="114">
        <f>Tabela34[[#This Row],[Ilość]]*Tabela34[[#This Row],[C.j. netto]]</f>
        <v>0</v>
      </c>
      <c r="G41" s="37"/>
      <c r="H41" s="38"/>
      <c r="I41" s="37"/>
      <c r="J41" s="37"/>
      <c r="K41" s="37"/>
      <c r="L41" s="39"/>
    </row>
    <row r="42" spans="1:12">
      <c r="A42" s="76" t="s">
        <v>86</v>
      </c>
      <c r="B42" s="77" t="s">
        <v>1230</v>
      </c>
      <c r="C42" s="117" t="s">
        <v>29</v>
      </c>
      <c r="D42" s="105">
        <v>50</v>
      </c>
      <c r="E42" s="129"/>
      <c r="F42" s="114">
        <f>Tabela34[[#This Row],[Ilość]]*Tabela34[[#This Row],[C.j. netto]]</f>
        <v>0</v>
      </c>
      <c r="G42" s="37"/>
      <c r="H42" s="38"/>
      <c r="I42" s="37"/>
      <c r="J42" s="37"/>
      <c r="K42" s="37"/>
      <c r="L42" s="39"/>
    </row>
    <row r="43" spans="1:12">
      <c r="A43" s="76" t="s">
        <v>88</v>
      </c>
      <c r="B43" s="77" t="s">
        <v>1231</v>
      </c>
      <c r="C43" s="117" t="s">
        <v>29</v>
      </c>
      <c r="D43" s="105">
        <v>500</v>
      </c>
      <c r="E43" s="129"/>
      <c r="F43" s="114">
        <f>Tabela34[[#This Row],[Ilość]]*Tabela34[[#This Row],[C.j. netto]]</f>
        <v>0</v>
      </c>
      <c r="G43" s="37"/>
      <c r="H43" s="38"/>
      <c r="I43" s="37"/>
      <c r="J43" s="37"/>
      <c r="K43" s="37"/>
      <c r="L43" s="39"/>
    </row>
    <row r="44" spans="1:12">
      <c r="A44" s="13" t="s">
        <v>118</v>
      </c>
      <c r="B44" s="14"/>
      <c r="C44" s="150"/>
      <c r="D44" s="150"/>
      <c r="E44" s="153"/>
      <c r="F44" s="63">
        <f>SUBTOTAL(109,Tabela34[Wartość netto])</f>
        <v>0</v>
      </c>
      <c r="G44" s="15"/>
      <c r="H44" s="26"/>
      <c r="I44" s="15"/>
      <c r="J44" s="15"/>
      <c r="K44" s="15"/>
      <c r="L44" s="16"/>
    </row>
    <row r="45" spans="1:12">
      <c r="A45" s="27"/>
      <c r="E45" s="154"/>
      <c r="F45" s="155"/>
      <c r="H45" s="24"/>
    </row>
    <row r="46" spans="1:12">
      <c r="A46" s="27"/>
      <c r="E46" s="154"/>
      <c r="F46" s="155"/>
      <c r="H46" s="24"/>
    </row>
    <row r="47" spans="1:12" ht="30">
      <c r="A47" s="10" t="s">
        <v>115</v>
      </c>
      <c r="B47" s="5"/>
    </row>
    <row r="48" spans="1:12" ht="15">
      <c r="A48" s="11" t="s">
        <v>116</v>
      </c>
      <c r="B48" s="5"/>
      <c r="L48" s="17"/>
    </row>
    <row r="49" spans="1:12" ht="15">
      <c r="A49" s="11" t="s">
        <v>117</v>
      </c>
      <c r="B49" s="5"/>
      <c r="L49" s="32" t="s">
        <v>119</v>
      </c>
    </row>
    <row r="59" spans="1:12" ht="18" customHeight="1"/>
    <row r="60" spans="1:12" ht="15.75" customHeight="1"/>
    <row r="61" spans="1:12" ht="17.25" customHeight="1"/>
    <row r="62" spans="1:12" ht="19.5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0" fitToHeight="0" orientation="landscape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61B1-CB98-4EF5-9BFC-EBE5707FEA0F}">
  <sheetPr>
    <pageSetUpPr fitToPage="1"/>
  </sheetPr>
  <dimension ref="A1:M59"/>
  <sheetViews>
    <sheetView workbookViewId="0">
      <selection activeCell="B33" sqref="B33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769</v>
      </c>
      <c r="B1" s="5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84" t="s">
        <v>0</v>
      </c>
      <c r="B8" s="85" t="s">
        <v>15</v>
      </c>
      <c r="C8" s="85" t="s">
        <v>1</v>
      </c>
      <c r="D8" s="86" t="s">
        <v>2</v>
      </c>
      <c r="E8" s="87" t="s">
        <v>9</v>
      </c>
      <c r="F8" s="87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94" t="s">
        <v>4</v>
      </c>
      <c r="B9" s="93" t="s">
        <v>1080</v>
      </c>
      <c r="C9" s="92" t="s">
        <v>16</v>
      </c>
      <c r="D9" s="99">
        <v>240</v>
      </c>
      <c r="E9" s="95"/>
      <c r="F9" s="95">
        <f>Tabela35[[#This Row],[Ilość]]*Tabela35[[#This Row],[C.j. netto]]</f>
        <v>0</v>
      </c>
      <c r="G9" s="83"/>
      <c r="H9" s="38"/>
      <c r="I9" s="37"/>
      <c r="J9" s="37"/>
      <c r="K9" s="37"/>
      <c r="L9" s="39"/>
    </row>
    <row r="10" spans="1:13">
      <c r="A10" s="88"/>
      <c r="B10" s="89"/>
      <c r="C10" s="90"/>
      <c r="D10" s="90"/>
      <c r="E10" s="97"/>
      <c r="F10" s="91">
        <f>SUBTOTAL(109,Tabela35[Wartość netto])</f>
        <v>0</v>
      </c>
      <c r="G10" s="15"/>
      <c r="H10" s="26"/>
      <c r="I10" s="15"/>
      <c r="J10" s="15"/>
      <c r="K10" s="15"/>
      <c r="L10" s="16"/>
    </row>
    <row r="13" spans="1:13" ht="30">
      <c r="A13" s="10" t="s">
        <v>115</v>
      </c>
      <c r="B13" s="5"/>
    </row>
    <row r="14" spans="1:13" ht="15">
      <c r="A14" s="11" t="s">
        <v>116</v>
      </c>
      <c r="B14" s="5"/>
      <c r="L14" s="17"/>
    </row>
    <row r="15" spans="1:13" ht="15">
      <c r="A15" s="11" t="s">
        <v>117</v>
      </c>
      <c r="B15" s="5"/>
      <c r="L15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E130-AF5F-404C-BCB5-71892B825E06}">
  <dimension ref="A1:L20"/>
  <sheetViews>
    <sheetView topLeftCell="A4" workbookViewId="0">
      <selection activeCell="B33" sqref="B33"/>
    </sheetView>
    <sheetView workbookViewId="1"/>
    <sheetView workbookViewId="2">
      <selection activeCell="E20" sqref="E20"/>
    </sheetView>
  </sheetViews>
  <sheetFormatPr defaultRowHeight="14.25"/>
  <cols>
    <col min="1" max="1" width="14.125" customWidth="1"/>
    <col min="2" max="2" width="49.625" customWidth="1"/>
    <col min="5" max="5" width="13.375" customWidth="1"/>
    <col min="6" max="6" width="18" customWidth="1"/>
    <col min="7" max="7" width="19.375" customWidth="1"/>
    <col min="8" max="8" width="18.375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2" ht="15">
      <c r="A1" s="4" t="s">
        <v>770</v>
      </c>
      <c r="B1" s="193"/>
      <c r="C1" s="24"/>
      <c r="D1" s="24"/>
      <c r="E1" s="2"/>
      <c r="F1" s="2"/>
      <c r="H1" s="3"/>
    </row>
    <row r="2" spans="1:12" ht="15">
      <c r="B2" s="59"/>
      <c r="C2" s="24"/>
      <c r="D2" s="24"/>
      <c r="E2" s="2"/>
      <c r="F2" s="2"/>
      <c r="H2" s="3"/>
    </row>
    <row r="3" spans="1:12" ht="15">
      <c r="A3" s="8" t="s">
        <v>112</v>
      </c>
      <c r="B3" s="264"/>
      <c r="C3" s="264"/>
      <c r="D3" s="264"/>
      <c r="E3" s="264"/>
      <c r="F3" s="2"/>
      <c r="H3" s="3"/>
    </row>
    <row r="4" spans="1:12" ht="15">
      <c r="A4" s="8" t="s">
        <v>113</v>
      </c>
      <c r="B4" s="264"/>
      <c r="C4" s="264"/>
      <c r="D4" s="264"/>
      <c r="E4" s="264"/>
      <c r="F4" s="2"/>
      <c r="H4" s="3"/>
    </row>
    <row r="5" spans="1:12" ht="15">
      <c r="A5" s="8" t="s">
        <v>114</v>
      </c>
      <c r="B5" s="264"/>
      <c r="C5" s="264"/>
      <c r="D5" s="264"/>
      <c r="E5" s="264"/>
      <c r="F5" s="2"/>
      <c r="H5" s="3"/>
    </row>
    <row r="6" spans="1:12">
      <c r="B6" s="6"/>
      <c r="C6" s="24"/>
      <c r="D6" s="24"/>
      <c r="E6" s="2"/>
      <c r="F6" s="2"/>
      <c r="H6" s="3"/>
    </row>
    <row r="7" spans="1:12">
      <c r="B7" s="6"/>
      <c r="C7" s="24"/>
      <c r="D7" s="24"/>
      <c r="E7" s="2"/>
      <c r="F7" s="2"/>
      <c r="H7" s="3"/>
    </row>
    <row r="8" spans="1:12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</row>
    <row r="9" spans="1:12" ht="62.25" customHeight="1">
      <c r="A9" s="194" t="s">
        <v>4</v>
      </c>
      <c r="B9" s="53" t="s">
        <v>1351</v>
      </c>
      <c r="C9" s="50" t="s">
        <v>29</v>
      </c>
      <c r="D9" s="105">
        <v>15</v>
      </c>
      <c r="E9" s="51"/>
      <c r="F9" s="51">
        <f>Tabela36[[#This Row],[Ilość]]*Tabela36[[#This Row],[C.j. netto]]</f>
        <v>0</v>
      </c>
      <c r="G9" s="37"/>
      <c r="H9" s="38"/>
      <c r="I9" s="66"/>
      <c r="J9" s="37"/>
      <c r="K9" s="37"/>
      <c r="L9" s="39"/>
    </row>
    <row r="10" spans="1:12">
      <c r="A10" s="13" t="s">
        <v>118</v>
      </c>
      <c r="B10" s="14"/>
      <c r="C10" s="26"/>
      <c r="D10" s="26"/>
      <c r="E10" s="15"/>
      <c r="F10" s="31">
        <f>SUBTOTAL(109,Tabela36[Wartość netto])</f>
        <v>0</v>
      </c>
      <c r="G10" s="15"/>
      <c r="H10" s="26"/>
      <c r="I10" s="15"/>
      <c r="J10" s="15"/>
      <c r="K10" s="15"/>
      <c r="L10" s="16"/>
    </row>
    <row r="11" spans="1:12">
      <c r="B11" s="6"/>
      <c r="C11" s="24"/>
      <c r="D11" s="24"/>
      <c r="E11" s="2"/>
      <c r="F11" s="2"/>
      <c r="H11" s="3"/>
    </row>
    <row r="12" spans="1:12">
      <c r="B12" s="6"/>
      <c r="C12" s="24"/>
      <c r="D12" s="24"/>
      <c r="E12" s="2"/>
      <c r="F12" s="2"/>
      <c r="H12" s="3"/>
    </row>
    <row r="13" spans="1:12" ht="30">
      <c r="A13" s="10" t="s">
        <v>115</v>
      </c>
      <c r="B13" s="5"/>
      <c r="C13" s="24"/>
      <c r="D13" s="24"/>
      <c r="E13" s="2"/>
      <c r="F13" s="2"/>
      <c r="H13" s="3"/>
    </row>
    <row r="14" spans="1:12" ht="15">
      <c r="A14" s="11" t="s">
        <v>116</v>
      </c>
      <c r="B14" s="5"/>
      <c r="C14" s="24"/>
      <c r="D14" s="24"/>
      <c r="E14" s="2"/>
      <c r="F14" s="2"/>
      <c r="H14" s="3"/>
      <c r="L14" s="17"/>
    </row>
    <row r="15" spans="1:12" ht="15">
      <c r="A15" s="11" t="s">
        <v>117</v>
      </c>
      <c r="B15" s="5"/>
      <c r="C15" s="24"/>
      <c r="D15" s="24"/>
      <c r="E15" s="2"/>
      <c r="F15" s="2"/>
      <c r="H15" s="3"/>
      <c r="L15" s="32" t="s">
        <v>119</v>
      </c>
    </row>
    <row r="16" spans="1:12">
      <c r="B16" s="6"/>
      <c r="C16" s="24"/>
      <c r="D16" s="24"/>
      <c r="E16" s="2"/>
      <c r="F16" s="2"/>
      <c r="H16" s="3"/>
    </row>
    <row r="17" spans="2:8">
      <c r="B17" s="6"/>
      <c r="C17" s="24"/>
      <c r="D17" s="24"/>
      <c r="E17" s="2"/>
      <c r="F17" s="2"/>
      <c r="H17" s="3"/>
    </row>
    <row r="18" spans="2:8">
      <c r="B18" s="6"/>
      <c r="C18" s="24"/>
      <c r="D18" s="24"/>
      <c r="E18" s="2"/>
      <c r="F18" s="2"/>
      <c r="H18" s="3"/>
    </row>
    <row r="19" spans="2:8">
      <c r="B19" s="6"/>
      <c r="C19" s="24"/>
      <c r="D19" s="24"/>
      <c r="E19" s="2"/>
      <c r="F19" s="2"/>
      <c r="H19" s="3"/>
    </row>
    <row r="20" spans="2:8">
      <c r="B20" s="6"/>
      <c r="C20" s="24"/>
      <c r="D20" s="24"/>
      <c r="E20" s="2"/>
      <c r="F20" s="2"/>
      <c r="H20" s="3"/>
    </row>
  </sheetData>
  <mergeCells count="3">
    <mergeCell ref="B3:E3"/>
    <mergeCell ref="B4:E4"/>
    <mergeCell ref="B5:E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CBA8E-6CA2-4FC1-A68A-38E358FF5458}">
  <sheetPr>
    <pageSetUpPr fitToPage="1"/>
  </sheetPr>
  <dimension ref="A1:M52"/>
  <sheetViews>
    <sheetView workbookViewId="0">
      <selection activeCell="B11" sqref="B11"/>
    </sheetView>
    <sheetView workbookViewId="1"/>
    <sheetView workbookViewId="2">
      <selection activeCell="E9" sqref="E9:E14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771</v>
      </c>
      <c r="B1" s="210"/>
    </row>
    <row r="2" spans="1:13">
      <c r="B2" s="6" t="s">
        <v>1262</v>
      </c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202" t="s">
        <v>4</v>
      </c>
      <c r="B9" s="57" t="s">
        <v>1082</v>
      </c>
      <c r="C9" s="35" t="s">
        <v>29</v>
      </c>
      <c r="D9" s="64">
        <v>70</v>
      </c>
      <c r="E9" s="36"/>
      <c r="F9" s="36">
        <f>Tabela37[[#This Row],[Ilość]]*Tabela37[[#This Row],[C.j. netto]]</f>
        <v>0</v>
      </c>
      <c r="G9" s="37"/>
      <c r="H9" s="38"/>
      <c r="I9" s="37"/>
      <c r="J9" s="37"/>
      <c r="K9" s="37"/>
      <c r="L9" s="37"/>
    </row>
    <row r="10" spans="1:13">
      <c r="A10" s="202" t="s">
        <v>5</v>
      </c>
      <c r="B10" s="57" t="s">
        <v>1083</v>
      </c>
      <c r="C10" s="35" t="s">
        <v>29</v>
      </c>
      <c r="D10" s="64">
        <v>20</v>
      </c>
      <c r="E10" s="36"/>
      <c r="F10" s="36">
        <f>Tabela37[[#This Row],[Ilość]]*Tabela37[[#This Row],[C.j. netto]]</f>
        <v>0</v>
      </c>
      <c r="G10" s="37"/>
      <c r="H10" s="38"/>
      <c r="I10" s="37"/>
      <c r="J10" s="37"/>
      <c r="K10" s="37"/>
      <c r="L10" s="37"/>
    </row>
    <row r="11" spans="1:13" ht="25.5">
      <c r="A11" s="202" t="s">
        <v>6</v>
      </c>
      <c r="B11" s="57" t="s">
        <v>1084</v>
      </c>
      <c r="C11" s="35" t="s">
        <v>29</v>
      </c>
      <c r="D11" s="64">
        <v>470</v>
      </c>
      <c r="E11" s="36"/>
      <c r="F11" s="36">
        <f>Tabela37[[#This Row],[Ilość]]*Tabela37[[#This Row],[C.j. netto]]</f>
        <v>0</v>
      </c>
      <c r="G11" s="37"/>
      <c r="H11" s="38"/>
      <c r="I11" s="37"/>
      <c r="J11" s="37"/>
      <c r="K11" s="37"/>
      <c r="L11" s="37"/>
    </row>
    <row r="12" spans="1:13" ht="25.5">
      <c r="A12" s="202" t="s">
        <v>26</v>
      </c>
      <c r="B12" s="57" t="s">
        <v>1085</v>
      </c>
      <c r="C12" s="35" t="s">
        <v>29</v>
      </c>
      <c r="D12" s="64">
        <v>50</v>
      </c>
      <c r="E12" s="36"/>
      <c r="F12" s="36">
        <f>Tabela37[[#This Row],[Ilość]]*Tabela37[[#This Row],[C.j. netto]]</f>
        <v>0</v>
      </c>
      <c r="G12" s="37"/>
      <c r="H12" s="38"/>
      <c r="I12" s="37"/>
      <c r="J12" s="37"/>
      <c r="K12" s="37"/>
      <c r="L12" s="37"/>
    </row>
    <row r="13" spans="1:13" ht="25.5">
      <c r="A13" s="202" t="s">
        <v>27</v>
      </c>
      <c r="B13" s="57" t="s">
        <v>1086</v>
      </c>
      <c r="C13" s="35" t="s">
        <v>29</v>
      </c>
      <c r="D13" s="64">
        <v>50</v>
      </c>
      <c r="E13" s="36"/>
      <c r="F13" s="36">
        <f>Tabela37[[#This Row],[Ilość]]*Tabela37[[#This Row],[C.j. netto]]</f>
        <v>0</v>
      </c>
      <c r="G13" s="37"/>
      <c r="H13" s="38"/>
      <c r="I13" s="37"/>
      <c r="J13" s="37"/>
      <c r="K13" s="37"/>
      <c r="L13" s="37"/>
    </row>
    <row r="14" spans="1:13">
      <c r="A14" s="9" t="s">
        <v>118</v>
      </c>
      <c r="B14" s="7"/>
      <c r="C14" s="25"/>
      <c r="D14" s="25"/>
      <c r="E14" s="12"/>
      <c r="F14" s="61">
        <f>SUBTOTAL(109,Tabela37[Wartość netto])</f>
        <v>0</v>
      </c>
      <c r="G14" s="12"/>
      <c r="H14" s="25"/>
      <c r="I14" s="12"/>
      <c r="J14" s="12"/>
      <c r="K14" s="12"/>
      <c r="L14" s="12"/>
    </row>
    <row r="15" spans="1:13">
      <c r="A15" s="27"/>
      <c r="B15" s="60"/>
      <c r="E15"/>
      <c r="F15" s="28"/>
      <c r="H15" s="24"/>
    </row>
    <row r="16" spans="1:13" ht="30">
      <c r="A16" s="10" t="s">
        <v>115</v>
      </c>
      <c r="B16" s="5"/>
    </row>
    <row r="17" spans="1:12" ht="15">
      <c r="A17" s="11" t="s">
        <v>116</v>
      </c>
      <c r="B17" s="5"/>
      <c r="L17" s="17"/>
    </row>
    <row r="18" spans="1:12" ht="15">
      <c r="A18" s="11" t="s">
        <v>117</v>
      </c>
      <c r="B18" s="5"/>
      <c r="L18" s="32" t="s">
        <v>119</v>
      </c>
    </row>
    <row r="49" ht="30" customHeight="1"/>
    <row r="50" ht="30" customHeight="1"/>
    <row r="51" ht="30" customHeight="1"/>
    <row r="52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A7BF-AC23-4105-BAF8-CB8716D03A3A}">
  <sheetPr>
    <pageSetUpPr fitToPage="1"/>
  </sheetPr>
  <dimension ref="A1:M60"/>
  <sheetViews>
    <sheetView workbookViewId="0">
      <selection activeCell="F29" sqref="F29"/>
    </sheetView>
    <sheetView workbookViewId="1"/>
    <sheetView workbookViewId="2">
      <selection activeCell="E9" sqref="E9:E15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1357</v>
      </c>
      <c r="B1" s="20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80" t="s">
        <v>4</v>
      </c>
      <c r="B9" s="77" t="s">
        <v>1076</v>
      </c>
      <c r="C9" s="64" t="s">
        <v>29</v>
      </c>
      <c r="D9" s="64">
        <v>400</v>
      </c>
      <c r="E9" s="75"/>
      <c r="F9" s="75">
        <f>Tabela38[[#This Row],[Ilość]]*Tabela38[[#This Row],[C.j. netto]]</f>
        <v>0</v>
      </c>
      <c r="G9" s="37"/>
      <c r="H9" s="38"/>
      <c r="I9" s="37"/>
      <c r="J9" s="37"/>
      <c r="K9" s="37"/>
      <c r="L9" s="39"/>
    </row>
    <row r="10" spans="1:13">
      <c r="A10" s="80" t="s">
        <v>5</v>
      </c>
      <c r="B10" s="77" t="s">
        <v>1077</v>
      </c>
      <c r="C10" s="64" t="s">
        <v>29</v>
      </c>
      <c r="D10" s="65">
        <v>2000</v>
      </c>
      <c r="E10" s="75"/>
      <c r="F10" s="75">
        <f>Tabela38[[#This Row],[Ilość]]*Tabela38[[#This Row],[C.j. netto]]</f>
        <v>0</v>
      </c>
      <c r="G10" s="37"/>
      <c r="H10" s="38"/>
      <c r="I10" s="37"/>
      <c r="J10" s="37"/>
      <c r="K10" s="37"/>
      <c r="L10" s="39"/>
    </row>
    <row r="11" spans="1:13" ht="25.5">
      <c r="A11" s="80" t="s">
        <v>6</v>
      </c>
      <c r="B11" s="77" t="s">
        <v>1078</v>
      </c>
      <c r="C11" s="64" t="s">
        <v>29</v>
      </c>
      <c r="D11" s="64">
        <v>1300</v>
      </c>
      <c r="E11" s="75"/>
      <c r="F11" s="75">
        <f>Tabela38[[#This Row],[Ilość]]*Tabela38[[#This Row],[C.j. netto]]</f>
        <v>0</v>
      </c>
      <c r="G11" s="37"/>
      <c r="H11" s="38"/>
      <c r="I11" s="66"/>
      <c r="J11" s="37"/>
      <c r="K11" s="37"/>
      <c r="L11" s="39"/>
    </row>
    <row r="12" spans="1:13" ht="25.5">
      <c r="A12" s="80" t="s">
        <v>26</v>
      </c>
      <c r="B12" s="77" t="s">
        <v>1162</v>
      </c>
      <c r="C12" s="116" t="s">
        <v>29</v>
      </c>
      <c r="D12" s="64">
        <v>150</v>
      </c>
      <c r="E12" s="75"/>
      <c r="F12" s="75">
        <f>Tabela38[[#This Row],[Ilość]]*Tabela38[[#This Row],[C.j. netto]]</f>
        <v>0</v>
      </c>
      <c r="G12" s="37"/>
      <c r="H12" s="38"/>
      <c r="I12" s="66"/>
      <c r="J12" s="37"/>
      <c r="K12" s="37"/>
      <c r="L12" s="39"/>
    </row>
    <row r="13" spans="1:13">
      <c r="A13" s="80" t="s">
        <v>27</v>
      </c>
      <c r="B13" s="77" t="s">
        <v>1079</v>
      </c>
      <c r="C13" s="64" t="s">
        <v>29</v>
      </c>
      <c r="D13" s="64">
        <v>110</v>
      </c>
      <c r="E13" s="75"/>
      <c r="F13" s="75">
        <f>Tabela38[[#This Row],[Ilość]]*Tabela38[[#This Row],[C.j. netto]]</f>
        <v>0</v>
      </c>
      <c r="G13" s="37"/>
      <c r="H13" s="38"/>
      <c r="I13" s="66"/>
      <c r="J13" s="37"/>
      <c r="K13" s="37"/>
      <c r="L13" s="39"/>
    </row>
    <row r="14" spans="1:13">
      <c r="A14" s="80" t="s">
        <v>32</v>
      </c>
      <c r="B14" s="77" t="s">
        <v>1334</v>
      </c>
      <c r="C14" s="111" t="s">
        <v>29</v>
      </c>
      <c r="D14" s="206">
        <v>20</v>
      </c>
      <c r="E14" s="207"/>
      <c r="F14" s="207">
        <f>Tabela38[[#This Row],[Ilość]]*Tabela38[[#This Row],[C.j. netto]]</f>
        <v>0</v>
      </c>
      <c r="G14" s="37"/>
      <c r="H14" s="38"/>
      <c r="I14" s="66"/>
      <c r="J14" s="37"/>
      <c r="K14" s="37"/>
      <c r="L14" s="39"/>
    </row>
    <row r="15" spans="1:13">
      <c r="A15" s="13" t="s">
        <v>118</v>
      </c>
      <c r="B15" s="14"/>
      <c r="C15" s="26"/>
      <c r="D15" s="26"/>
      <c r="E15" s="15"/>
      <c r="F15" s="31">
        <f>SUBTOTAL(109,Tabela38[Wartość netto])</f>
        <v>0</v>
      </c>
      <c r="G15" s="15"/>
      <c r="H15" s="26"/>
      <c r="I15" s="15"/>
      <c r="J15" s="15"/>
      <c r="K15" s="15"/>
      <c r="L15" s="16"/>
    </row>
    <row r="18" spans="1:12" ht="30">
      <c r="A18" s="10" t="s">
        <v>115</v>
      </c>
      <c r="B18" s="5"/>
    </row>
    <row r="19" spans="1:12" ht="15">
      <c r="A19" s="11" t="s">
        <v>116</v>
      </c>
      <c r="B19" s="5"/>
      <c r="L19" s="17"/>
    </row>
    <row r="20" spans="1:12" ht="15">
      <c r="A20" s="11" t="s">
        <v>117</v>
      </c>
      <c r="B20" s="5"/>
      <c r="L20" s="32" t="s">
        <v>119</v>
      </c>
    </row>
    <row r="58" ht="30" customHeight="1"/>
    <row r="59" ht="30" customHeight="1"/>
    <row r="60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E2B23-30ED-4D3C-B720-A46CBE711DBA}">
  <sheetPr>
    <pageSetUpPr fitToPage="1"/>
  </sheetPr>
  <dimension ref="A1:M59"/>
  <sheetViews>
    <sheetView workbookViewId="0">
      <selection activeCell="B24" sqref="B24"/>
    </sheetView>
    <sheetView workbookViewId="1"/>
    <sheetView workbookViewId="2">
      <selection activeCell="E9" sqref="E9:E10"/>
    </sheetView>
  </sheetViews>
  <sheetFormatPr defaultRowHeight="14.25"/>
  <cols>
    <col min="1" max="1" width="14.125" customWidth="1"/>
    <col min="2" max="2" width="51.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1358</v>
      </c>
      <c r="B1" s="5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84" t="s">
        <v>0</v>
      </c>
      <c r="B8" s="85" t="s">
        <v>15</v>
      </c>
      <c r="C8" s="85" t="s">
        <v>1</v>
      </c>
      <c r="D8" s="86" t="s">
        <v>2</v>
      </c>
      <c r="E8" s="87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92" t="s">
        <v>4</v>
      </c>
      <c r="B9" s="57" t="s">
        <v>1359</v>
      </c>
      <c r="C9" s="35" t="s">
        <v>415</v>
      </c>
      <c r="D9" s="65">
        <v>400</v>
      </c>
      <c r="E9" s="36"/>
      <c r="F9" s="100">
        <f>Tabela39[[#This Row],[C.j. netto]]*Tabela39[[#This Row],[Ilość]]</f>
        <v>0</v>
      </c>
      <c r="G9" s="37"/>
      <c r="H9" s="38"/>
      <c r="I9" s="37"/>
      <c r="J9" s="37"/>
      <c r="K9" s="37"/>
      <c r="L9" s="39"/>
    </row>
    <row r="10" spans="1:13">
      <c r="A10" s="88" t="s">
        <v>118</v>
      </c>
      <c r="B10" s="89"/>
      <c r="C10" s="90"/>
      <c r="D10" s="90"/>
      <c r="E10" s="97"/>
      <c r="F10" s="31">
        <f>SUBTOTAL(109,Tabela39[Wartość netto])</f>
        <v>0</v>
      </c>
      <c r="G10" s="15"/>
      <c r="H10" s="26"/>
      <c r="I10" s="15"/>
      <c r="J10" s="15"/>
      <c r="K10" s="15"/>
      <c r="L10" s="16"/>
    </row>
    <row r="12" spans="1:13" ht="60">
      <c r="A12" s="228" t="s">
        <v>1338</v>
      </c>
      <c r="B12" s="229" t="s">
        <v>1360</v>
      </c>
    </row>
    <row r="14" spans="1:13" ht="30">
      <c r="A14" s="10" t="s">
        <v>115</v>
      </c>
      <c r="B14" s="5"/>
    </row>
    <row r="15" spans="1:13" ht="15">
      <c r="A15" s="11" t="s">
        <v>116</v>
      </c>
      <c r="B15" s="5"/>
      <c r="L15" s="17"/>
    </row>
    <row r="16" spans="1:13" ht="15">
      <c r="A16" s="11" t="s">
        <v>117</v>
      </c>
      <c r="B16" s="5"/>
      <c r="L16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09CFB-846C-4009-958E-DE463F4E00D6}">
  <sheetPr>
    <pageSetUpPr fitToPage="1"/>
  </sheetPr>
  <dimension ref="A1:M19"/>
  <sheetViews>
    <sheetView workbookViewId="0">
      <selection activeCell="B12" sqref="B12"/>
    </sheetView>
    <sheetView workbookViewId="1"/>
    <sheetView workbookViewId="2">
      <selection activeCell="E9" sqref="E9:E13"/>
    </sheetView>
  </sheetViews>
  <sheetFormatPr defaultRowHeight="14.25"/>
  <cols>
    <col min="1" max="1" width="14.125" customWidth="1"/>
    <col min="2" max="2" width="49.625" style="6" customWidth="1"/>
    <col min="3" max="4" width="9.125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19</v>
      </c>
      <c r="B1" s="20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9.25" customHeight="1">
      <c r="A9" s="48" t="s">
        <v>4</v>
      </c>
      <c r="B9" s="53" t="s">
        <v>147</v>
      </c>
      <c r="C9" s="50" t="s">
        <v>29</v>
      </c>
      <c r="D9" s="50">
        <v>250</v>
      </c>
      <c r="E9" s="51"/>
      <c r="F9" s="51">
        <f>Tabela4[[#This Row],[Ilość]]*Tabela4[[#This Row],[C.j. netto]]</f>
        <v>0</v>
      </c>
      <c r="G9" s="37"/>
      <c r="H9" s="38"/>
      <c r="I9" s="37"/>
      <c r="J9" s="37"/>
      <c r="K9" s="37"/>
      <c r="L9" s="39"/>
    </row>
    <row r="10" spans="1:13" ht="29.25" customHeight="1">
      <c r="A10" s="48" t="s">
        <v>5</v>
      </c>
      <c r="B10" s="57" t="s">
        <v>1276</v>
      </c>
      <c r="C10" s="50" t="s">
        <v>16</v>
      </c>
      <c r="D10" s="50">
        <v>50</v>
      </c>
      <c r="E10" s="51"/>
      <c r="F10" s="51">
        <f>Tabela4[[#This Row],[Ilość]]*Tabela4[[#This Row],[C.j. netto]]</f>
        <v>0</v>
      </c>
      <c r="G10" s="37"/>
      <c r="H10" s="38"/>
      <c r="I10" s="37"/>
      <c r="J10" s="37"/>
      <c r="K10" s="37"/>
      <c r="L10" s="39"/>
    </row>
    <row r="11" spans="1:13" ht="29.25" customHeight="1">
      <c r="A11" s="48" t="s">
        <v>6</v>
      </c>
      <c r="B11" s="57" t="s">
        <v>1277</v>
      </c>
      <c r="C11" s="50" t="s">
        <v>16</v>
      </c>
      <c r="D11" s="50">
        <v>400</v>
      </c>
      <c r="E11" s="51"/>
      <c r="F11" s="51">
        <f>Tabela4[[#This Row],[Ilość]]*Tabela4[[#This Row],[C.j. netto]]</f>
        <v>0</v>
      </c>
      <c r="G11" s="37"/>
      <c r="H11" s="38"/>
      <c r="I11" s="37"/>
      <c r="J11" s="37"/>
      <c r="K11" s="37"/>
      <c r="L11" s="39"/>
    </row>
    <row r="12" spans="1:13" ht="25.5">
      <c r="A12" s="48" t="s">
        <v>26</v>
      </c>
      <c r="B12" s="115" t="s">
        <v>1243</v>
      </c>
      <c r="C12" s="105" t="s">
        <v>16</v>
      </c>
      <c r="D12" s="105">
        <v>30</v>
      </c>
      <c r="E12" s="201"/>
      <c r="F12" s="51">
        <f>Tabela4[[#This Row],[Ilość]]*Tabela4[[#This Row],[C.j. netto]]</f>
        <v>0</v>
      </c>
      <c r="G12" s="37"/>
      <c r="H12" s="38"/>
      <c r="I12" s="37"/>
      <c r="J12" s="37"/>
      <c r="K12" s="37"/>
      <c r="L12" s="39"/>
    </row>
    <row r="13" spans="1:13" ht="38.25">
      <c r="A13" s="48" t="s">
        <v>27</v>
      </c>
      <c r="B13" s="115" t="s">
        <v>1244</v>
      </c>
      <c r="C13" s="105" t="s">
        <v>16</v>
      </c>
      <c r="D13" s="105">
        <v>30</v>
      </c>
      <c r="E13" s="201"/>
      <c r="F13" s="51">
        <f>Tabela4[[#This Row],[Ilość]]*Tabela4[[#This Row],[C.j. netto]]</f>
        <v>0</v>
      </c>
      <c r="G13" s="37"/>
      <c r="H13" s="38"/>
      <c r="I13" s="37"/>
      <c r="J13" s="37"/>
      <c r="K13" s="37"/>
      <c r="L13" s="39"/>
    </row>
    <row r="14" spans="1:13">
      <c r="A14" s="13" t="s">
        <v>118</v>
      </c>
      <c r="B14" s="58"/>
      <c r="C14" s="26"/>
      <c r="D14" s="26"/>
      <c r="E14" s="15"/>
      <c r="F14" s="31">
        <f>SUBTOTAL(109,Tabela4[Wartość netto])</f>
        <v>0</v>
      </c>
      <c r="G14" s="15"/>
      <c r="H14" s="26"/>
      <c r="I14" s="15"/>
      <c r="J14" s="15"/>
      <c r="K14" s="15"/>
      <c r="L14" s="16"/>
    </row>
    <row r="16" spans="1:13" ht="30" customHeight="1"/>
    <row r="17" spans="1:12" ht="30" customHeight="1">
      <c r="A17" s="10" t="s">
        <v>115</v>
      </c>
      <c r="B17" s="5"/>
    </row>
    <row r="18" spans="1:12" ht="30" customHeight="1">
      <c r="A18" s="11" t="s">
        <v>116</v>
      </c>
      <c r="B18" s="5"/>
      <c r="L18" s="17"/>
    </row>
    <row r="19" spans="1:12" ht="15">
      <c r="A19" s="11" t="s">
        <v>117</v>
      </c>
      <c r="B19" s="5"/>
      <c r="L19" s="32" t="s">
        <v>119</v>
      </c>
    </row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1E422-9FEF-459A-B25D-FF9BFCAE5F7F}">
  <sheetPr>
    <pageSetUpPr fitToPage="1"/>
  </sheetPr>
  <dimension ref="A1:M57"/>
  <sheetViews>
    <sheetView workbookViewId="0">
      <selection activeCell="F34" sqref="F34"/>
    </sheetView>
    <sheetView tabSelected="1" workbookViewId="1">
      <selection activeCell="E29" sqref="E29"/>
    </sheetView>
    <sheetView workbookViewId="2">
      <selection activeCell="E9" sqref="E9:E26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772</v>
      </c>
      <c r="B1" s="21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56" t="s">
        <v>0</v>
      </c>
      <c r="B8" s="157" t="s">
        <v>15</v>
      </c>
      <c r="C8" s="157" t="s">
        <v>1</v>
      </c>
      <c r="D8" s="156" t="s">
        <v>2</v>
      </c>
      <c r="E8" s="158" t="s">
        <v>9</v>
      </c>
      <c r="F8" s="158" t="s">
        <v>8</v>
      </c>
      <c r="G8" s="157" t="s">
        <v>7</v>
      </c>
      <c r="H8" s="159" t="s">
        <v>3</v>
      </c>
      <c r="I8" s="157" t="s">
        <v>13</v>
      </c>
      <c r="J8" s="157" t="s">
        <v>10</v>
      </c>
      <c r="K8" s="157" t="s">
        <v>11</v>
      </c>
      <c r="L8" s="157" t="s">
        <v>12</v>
      </c>
      <c r="M8" s="1"/>
    </row>
    <row r="9" spans="1:13">
      <c r="A9" s="213" t="s">
        <v>4</v>
      </c>
      <c r="B9" s="166" t="s">
        <v>773</v>
      </c>
      <c r="C9" s="108" t="s">
        <v>16</v>
      </c>
      <c r="D9" s="108">
        <v>150</v>
      </c>
      <c r="E9" s="167"/>
      <c r="F9" s="167">
        <f>Tabela40[[#This Row],[Ilość]]*Tabela40[[#This Row],[C.j. netto]]</f>
        <v>0</v>
      </c>
      <c r="G9" s="109"/>
      <c r="H9" s="185"/>
      <c r="I9" s="109"/>
      <c r="J9" s="109"/>
      <c r="K9" s="109"/>
      <c r="L9" s="109"/>
    </row>
    <row r="10" spans="1:13">
      <c r="A10" s="213" t="s">
        <v>5</v>
      </c>
      <c r="B10" s="166" t="s">
        <v>774</v>
      </c>
      <c r="C10" s="108" t="s">
        <v>16</v>
      </c>
      <c r="D10" s="108">
        <v>60</v>
      </c>
      <c r="E10" s="167"/>
      <c r="F10" s="167">
        <f>Tabela40[[#This Row],[Ilość]]*Tabela40[[#This Row],[C.j. netto]]</f>
        <v>0</v>
      </c>
      <c r="G10" s="109"/>
      <c r="H10" s="185"/>
      <c r="I10" s="109"/>
      <c r="J10" s="109"/>
      <c r="K10" s="109"/>
      <c r="L10" s="109"/>
    </row>
    <row r="11" spans="1:13" ht="25.5">
      <c r="A11" s="213" t="s">
        <v>6</v>
      </c>
      <c r="B11" s="166" t="s">
        <v>775</v>
      </c>
      <c r="C11" s="108" t="s">
        <v>16</v>
      </c>
      <c r="D11" s="108">
        <v>30</v>
      </c>
      <c r="E11" s="167"/>
      <c r="F11" s="167">
        <f>Tabela40[[#This Row],[Ilość]]*Tabela40[[#This Row],[C.j. netto]]</f>
        <v>0</v>
      </c>
      <c r="G11" s="109"/>
      <c r="H11" s="185"/>
      <c r="I11" s="109"/>
      <c r="J11" s="109"/>
      <c r="K11" s="109"/>
      <c r="L11" s="109"/>
    </row>
    <row r="12" spans="1:13" ht="25.5">
      <c r="A12" s="213" t="s">
        <v>26</v>
      </c>
      <c r="B12" s="166" t="s">
        <v>776</v>
      </c>
      <c r="C12" s="108" t="s">
        <v>106</v>
      </c>
      <c r="D12" s="108">
        <v>60</v>
      </c>
      <c r="E12" s="167"/>
      <c r="F12" s="167">
        <f>Tabela40[[#This Row],[Ilość]]*Tabela40[[#This Row],[C.j. netto]]</f>
        <v>0</v>
      </c>
      <c r="G12" s="109"/>
      <c r="H12" s="185"/>
      <c r="I12" s="109"/>
      <c r="J12" s="109"/>
      <c r="K12" s="109"/>
      <c r="L12" s="109"/>
    </row>
    <row r="13" spans="1:13" ht="25.5">
      <c r="A13" s="213" t="s">
        <v>27</v>
      </c>
      <c r="B13" s="166" t="s">
        <v>777</v>
      </c>
      <c r="C13" s="108" t="s">
        <v>16</v>
      </c>
      <c r="D13" s="108">
        <v>170</v>
      </c>
      <c r="E13" s="167"/>
      <c r="F13" s="167">
        <f>Tabela40[[#This Row],[Ilość]]*Tabela40[[#This Row],[C.j. netto]]</f>
        <v>0</v>
      </c>
      <c r="G13" s="109"/>
      <c r="H13" s="185"/>
      <c r="I13" s="109"/>
      <c r="J13" s="109"/>
      <c r="K13" s="109"/>
      <c r="L13" s="109"/>
    </row>
    <row r="14" spans="1:13">
      <c r="A14" s="213" t="s">
        <v>32</v>
      </c>
      <c r="B14" s="166" t="s">
        <v>778</v>
      </c>
      <c r="C14" s="108" t="s">
        <v>16</v>
      </c>
      <c r="D14" s="108">
        <v>190</v>
      </c>
      <c r="E14" s="167"/>
      <c r="F14" s="167">
        <f>Tabela40[[#This Row],[Ilość]]*Tabela40[[#This Row],[C.j. netto]]</f>
        <v>0</v>
      </c>
      <c r="G14" s="109"/>
      <c r="H14" s="185"/>
      <c r="I14" s="109"/>
      <c r="J14" s="109"/>
      <c r="K14" s="109"/>
      <c r="L14" s="109"/>
    </row>
    <row r="15" spans="1:13">
      <c r="A15" s="213" t="s">
        <v>34</v>
      </c>
      <c r="B15" s="166" t="s">
        <v>779</v>
      </c>
      <c r="C15" s="108" t="s">
        <v>16</v>
      </c>
      <c r="D15" s="108">
        <v>10</v>
      </c>
      <c r="E15" s="167"/>
      <c r="F15" s="167">
        <f>Tabela40[[#This Row],[Ilość]]*Tabela40[[#This Row],[C.j. netto]]</f>
        <v>0</v>
      </c>
      <c r="G15" s="109"/>
      <c r="H15" s="185"/>
      <c r="I15" s="109"/>
      <c r="J15" s="109"/>
      <c r="K15" s="109"/>
      <c r="L15" s="109"/>
    </row>
    <row r="16" spans="1:13">
      <c r="A16" s="213" t="s">
        <v>36</v>
      </c>
      <c r="B16" s="166" t="s">
        <v>780</v>
      </c>
      <c r="C16" s="108" t="s">
        <v>16</v>
      </c>
      <c r="D16" s="108">
        <v>35</v>
      </c>
      <c r="E16" s="167"/>
      <c r="F16" s="167">
        <f>Tabela40[[#This Row],[Ilość]]*Tabela40[[#This Row],[C.j. netto]]</f>
        <v>0</v>
      </c>
      <c r="G16" s="109"/>
      <c r="H16" s="185"/>
      <c r="I16" s="109"/>
      <c r="J16" s="109"/>
      <c r="K16" s="109"/>
      <c r="L16" s="109"/>
    </row>
    <row r="17" spans="1:12">
      <c r="A17" s="213" t="s">
        <v>38</v>
      </c>
      <c r="B17" s="166" t="s">
        <v>781</v>
      </c>
      <c r="C17" s="108" t="s">
        <v>16</v>
      </c>
      <c r="D17" s="108">
        <v>120</v>
      </c>
      <c r="E17" s="167"/>
      <c r="F17" s="167">
        <f>Tabela40[[#This Row],[Ilość]]*Tabela40[[#This Row],[C.j. netto]]</f>
        <v>0</v>
      </c>
      <c r="G17" s="109"/>
      <c r="H17" s="185"/>
      <c r="I17" s="109"/>
      <c r="J17" s="109"/>
      <c r="K17" s="109"/>
      <c r="L17" s="109"/>
    </row>
    <row r="18" spans="1:12">
      <c r="A18" s="213" t="s">
        <v>40</v>
      </c>
      <c r="B18" s="166" t="s">
        <v>782</v>
      </c>
      <c r="C18" s="108" t="s">
        <v>16</v>
      </c>
      <c r="D18" s="108">
        <v>30</v>
      </c>
      <c r="E18" s="167"/>
      <c r="F18" s="167">
        <f>Tabela40[[#This Row],[Ilość]]*Tabela40[[#This Row],[C.j. netto]]</f>
        <v>0</v>
      </c>
      <c r="G18" s="109"/>
      <c r="H18" s="185"/>
      <c r="I18" s="109"/>
      <c r="J18" s="109"/>
      <c r="K18" s="109"/>
      <c r="L18" s="109"/>
    </row>
    <row r="19" spans="1:12">
      <c r="A19" s="213" t="s">
        <v>42</v>
      </c>
      <c r="B19" s="166" t="s">
        <v>783</v>
      </c>
      <c r="C19" s="108" t="s">
        <v>16</v>
      </c>
      <c r="D19" s="108">
        <v>80</v>
      </c>
      <c r="E19" s="167"/>
      <c r="F19" s="167">
        <f>Tabela40[[#This Row],[Ilość]]*Tabela40[[#This Row],[C.j. netto]]</f>
        <v>0</v>
      </c>
      <c r="G19" s="109"/>
      <c r="H19" s="185"/>
      <c r="I19" s="109"/>
      <c r="J19" s="109"/>
      <c r="K19" s="109"/>
      <c r="L19" s="109"/>
    </row>
    <row r="20" spans="1:12">
      <c r="A20" s="213" t="s">
        <v>45</v>
      </c>
      <c r="B20" s="166" t="s">
        <v>784</v>
      </c>
      <c r="C20" s="108" t="s">
        <v>16</v>
      </c>
      <c r="D20" s="108">
        <v>110</v>
      </c>
      <c r="E20" s="167"/>
      <c r="F20" s="167">
        <f>Tabela40[[#This Row],[Ilość]]*Tabela40[[#This Row],[C.j. netto]]</f>
        <v>0</v>
      </c>
      <c r="G20" s="109"/>
      <c r="H20" s="185"/>
      <c r="I20" s="109"/>
      <c r="J20" s="109"/>
      <c r="K20" s="109"/>
      <c r="L20" s="109"/>
    </row>
    <row r="21" spans="1:12">
      <c r="A21" s="213" t="s">
        <v>47</v>
      </c>
      <c r="B21" s="166" t="s">
        <v>785</v>
      </c>
      <c r="C21" s="108" t="s">
        <v>16</v>
      </c>
      <c r="D21" s="108">
        <v>20</v>
      </c>
      <c r="E21" s="167"/>
      <c r="F21" s="167">
        <f>Tabela40[[#This Row],[Ilość]]*Tabela40[[#This Row],[C.j. netto]]</f>
        <v>0</v>
      </c>
      <c r="G21" s="109"/>
      <c r="H21" s="185"/>
      <c r="I21" s="109"/>
      <c r="J21" s="109"/>
      <c r="K21" s="109"/>
      <c r="L21" s="109"/>
    </row>
    <row r="22" spans="1:12">
      <c r="A22" s="213" t="s">
        <v>48</v>
      </c>
      <c r="B22" s="166" t="s">
        <v>1186</v>
      </c>
      <c r="C22" s="108" t="s">
        <v>16</v>
      </c>
      <c r="D22" s="108">
        <v>50</v>
      </c>
      <c r="E22" s="167"/>
      <c r="F22" s="167">
        <f>Tabela40[[#This Row],[Ilość]]*Tabela40[[#This Row],[C.j. netto]]</f>
        <v>0</v>
      </c>
      <c r="G22" s="109"/>
      <c r="H22" s="185"/>
      <c r="I22" s="109"/>
      <c r="J22" s="109"/>
      <c r="K22" s="109"/>
      <c r="L22" s="109"/>
    </row>
    <row r="23" spans="1:12">
      <c r="A23" s="213" t="s">
        <v>49</v>
      </c>
      <c r="B23" s="166" t="s">
        <v>1187</v>
      </c>
      <c r="C23" s="108" t="s">
        <v>16</v>
      </c>
      <c r="D23" s="108">
        <v>40</v>
      </c>
      <c r="E23" s="167"/>
      <c r="F23" s="167">
        <f>Tabela40[[#This Row],[Ilość]]*Tabela40[[#This Row],[C.j. netto]]</f>
        <v>0</v>
      </c>
      <c r="G23" s="109"/>
      <c r="H23" s="185"/>
      <c r="I23" s="109"/>
      <c r="J23" s="109"/>
      <c r="K23" s="109"/>
      <c r="L23" s="109"/>
    </row>
    <row r="24" spans="1:12">
      <c r="A24" s="213" t="s">
        <v>50</v>
      </c>
      <c r="B24" s="166" t="s">
        <v>1188</v>
      </c>
      <c r="C24" s="108" t="s">
        <v>16</v>
      </c>
      <c r="D24" s="108">
        <v>50</v>
      </c>
      <c r="E24" s="167"/>
      <c r="F24" s="167">
        <f>Tabela40[[#This Row],[Ilość]]*Tabela40[[#This Row],[C.j. netto]]</f>
        <v>0</v>
      </c>
      <c r="G24" s="109"/>
      <c r="H24" s="185"/>
      <c r="I24" s="109"/>
      <c r="J24" s="109"/>
      <c r="K24" s="109"/>
      <c r="L24" s="109"/>
    </row>
    <row r="25" spans="1:12">
      <c r="A25" s="213" t="s">
        <v>52</v>
      </c>
      <c r="B25" s="186" t="s">
        <v>1232</v>
      </c>
      <c r="C25" s="108" t="s">
        <v>16</v>
      </c>
      <c r="D25" s="108">
        <v>60</v>
      </c>
      <c r="E25" s="167"/>
      <c r="F25" s="167">
        <f>Tabela40[[#This Row],[Ilość]]*Tabela40[[#This Row],[C.j. netto]]</f>
        <v>0</v>
      </c>
      <c r="G25" s="109"/>
      <c r="H25" s="185"/>
      <c r="I25" s="109"/>
      <c r="J25" s="109"/>
      <c r="K25" s="109"/>
      <c r="L25" s="109"/>
    </row>
    <row r="26" spans="1:12">
      <c r="A26" s="213" t="s">
        <v>54</v>
      </c>
      <c r="B26" s="187" t="s">
        <v>97</v>
      </c>
      <c r="C26" s="108" t="s">
        <v>29</v>
      </c>
      <c r="D26" s="108">
        <v>200</v>
      </c>
      <c r="E26" s="167"/>
      <c r="F26" s="167">
        <f>Tabela40[[#This Row],[Ilość]]*Tabela40[[#This Row],[C.j. netto]]</f>
        <v>0</v>
      </c>
      <c r="G26" s="109"/>
      <c r="H26" s="185"/>
      <c r="I26" s="109"/>
      <c r="J26" s="109"/>
      <c r="K26" s="109"/>
      <c r="L26" s="109"/>
    </row>
    <row r="27" spans="1:12">
      <c r="A27" s="27" t="s">
        <v>118</v>
      </c>
      <c r="B27" s="60"/>
      <c r="E27"/>
      <c r="F27" s="28">
        <f>SUBTOTAL(109,Tabela40[Wartość netto])</f>
        <v>0</v>
      </c>
      <c r="H27" s="24"/>
    </row>
    <row r="28" spans="1:12">
      <c r="A28" s="27"/>
      <c r="B28" s="60"/>
      <c r="E28"/>
      <c r="F28" s="28"/>
      <c r="H28" s="24"/>
    </row>
    <row r="29" spans="1:12" ht="30">
      <c r="A29" s="10" t="s">
        <v>115</v>
      </c>
      <c r="B29" s="5"/>
    </row>
    <row r="30" spans="1:12" ht="15">
      <c r="A30" s="11" t="s">
        <v>116</v>
      </c>
      <c r="B30" s="5"/>
      <c r="L30" s="17"/>
    </row>
    <row r="31" spans="1:12" ht="15">
      <c r="A31" s="11" t="s">
        <v>117</v>
      </c>
      <c r="B31" s="5"/>
      <c r="L31" s="32" t="s">
        <v>119</v>
      </c>
    </row>
    <row r="54" ht="30" customHeight="1"/>
    <row r="55" ht="30" customHeight="1"/>
    <row r="56" ht="30" customHeight="1"/>
    <row r="57" ht="30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9BC0-9060-48AF-A5E0-FAAA783A2CE0}">
  <sheetPr>
    <pageSetUpPr fitToPage="1"/>
  </sheetPr>
  <dimension ref="A1:M59"/>
  <sheetViews>
    <sheetView workbookViewId="0">
      <selection activeCell="B30" sqref="B30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786</v>
      </c>
      <c r="B1" s="193"/>
    </row>
    <row r="2" spans="1:13">
      <c r="B2" s="6" t="s">
        <v>1261</v>
      </c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84" t="s">
        <v>0</v>
      </c>
      <c r="B8" s="85" t="s">
        <v>15</v>
      </c>
      <c r="C8" s="85" t="s">
        <v>1</v>
      </c>
      <c r="D8" s="86" t="s">
        <v>2</v>
      </c>
      <c r="E8" s="87" t="s">
        <v>9</v>
      </c>
      <c r="F8" s="87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94">
        <v>1</v>
      </c>
      <c r="B9" s="93" t="s">
        <v>1069</v>
      </c>
      <c r="C9" s="92" t="s">
        <v>103</v>
      </c>
      <c r="D9" s="99">
        <v>70</v>
      </c>
      <c r="E9" s="95"/>
      <c r="F9" s="95">
        <f>Tabela41[[#This Row],[Ilość]]*Tabela41[[#This Row],[C.j. netto]]</f>
        <v>0</v>
      </c>
      <c r="G9" s="83"/>
      <c r="H9" s="38"/>
      <c r="I9" s="37"/>
      <c r="J9" s="37"/>
      <c r="K9" s="37"/>
      <c r="L9" s="39"/>
    </row>
    <row r="10" spans="1:13">
      <c r="A10" s="88"/>
      <c r="B10" s="89"/>
      <c r="C10" s="90"/>
      <c r="D10" s="90"/>
      <c r="E10" s="97"/>
      <c r="F10" s="91">
        <f>SUBTOTAL(109,Tabela41[Wartość netto])</f>
        <v>0</v>
      </c>
      <c r="G10" s="15"/>
      <c r="H10" s="26"/>
      <c r="I10" s="15"/>
      <c r="J10" s="15"/>
      <c r="K10" s="15"/>
      <c r="L10" s="16"/>
    </row>
    <row r="13" spans="1:13" ht="30">
      <c r="A13" s="10" t="s">
        <v>115</v>
      </c>
      <c r="B13" s="5"/>
    </row>
    <row r="14" spans="1:13" ht="15">
      <c r="A14" s="11" t="s">
        <v>116</v>
      </c>
      <c r="B14" s="5"/>
      <c r="L14" s="17"/>
    </row>
    <row r="15" spans="1:13" ht="15">
      <c r="A15" s="11" t="s">
        <v>117</v>
      </c>
      <c r="B15" s="5"/>
      <c r="L15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E3DB0-97FB-4E5D-A466-4DD8B29862D2}">
  <sheetPr>
    <pageSetUpPr fitToPage="1"/>
  </sheetPr>
  <dimension ref="A1:M55"/>
  <sheetViews>
    <sheetView workbookViewId="0">
      <selection activeCell="B4" sqref="B4:E4"/>
    </sheetView>
    <sheetView workbookViewId="1"/>
    <sheetView workbookViewId="2">
      <selection activeCell="E9" sqref="E9:E30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787</v>
      </c>
      <c r="B1" s="19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202" t="s">
        <v>4</v>
      </c>
      <c r="B9" s="57" t="s">
        <v>788</v>
      </c>
      <c r="C9" s="35" t="s">
        <v>29</v>
      </c>
      <c r="D9" s="64">
        <v>10</v>
      </c>
      <c r="E9" s="36"/>
      <c r="F9" s="36">
        <f>Tabela42[[#This Row],[Ilość]]*Tabela42[[#This Row],[C.j. netto]]</f>
        <v>0</v>
      </c>
      <c r="G9" s="37"/>
      <c r="H9" s="38"/>
      <c r="I9" s="37"/>
      <c r="J9" s="37"/>
      <c r="K9" s="37"/>
      <c r="L9" s="37"/>
    </row>
    <row r="10" spans="1:13" ht="25.5">
      <c r="A10" s="202" t="s">
        <v>5</v>
      </c>
      <c r="B10" s="57" t="s">
        <v>728</v>
      </c>
      <c r="C10" s="35" t="s">
        <v>29</v>
      </c>
      <c r="D10" s="64">
        <v>120</v>
      </c>
      <c r="E10" s="36"/>
      <c r="F10" s="36">
        <f>Tabela42[[#This Row],[Ilość]]*Tabela42[[#This Row],[C.j. netto]]</f>
        <v>0</v>
      </c>
      <c r="G10" s="37"/>
      <c r="H10" s="38"/>
      <c r="I10" s="37"/>
      <c r="J10" s="37"/>
      <c r="K10" s="37"/>
      <c r="L10" s="37"/>
    </row>
    <row r="11" spans="1:13" ht="25.5">
      <c r="A11" s="202" t="s">
        <v>6</v>
      </c>
      <c r="B11" s="57" t="s">
        <v>789</v>
      </c>
      <c r="C11" s="35" t="s">
        <v>29</v>
      </c>
      <c r="D11" s="64">
        <v>1500</v>
      </c>
      <c r="E11" s="36"/>
      <c r="F11" s="36">
        <f>Tabela42[[#This Row],[Ilość]]*Tabela42[[#This Row],[C.j. netto]]</f>
        <v>0</v>
      </c>
      <c r="G11" s="37"/>
      <c r="H11" s="38"/>
      <c r="I11" s="37"/>
      <c r="J11" s="37"/>
      <c r="K11" s="37"/>
      <c r="L11" s="37"/>
    </row>
    <row r="12" spans="1:13">
      <c r="A12" s="202" t="s">
        <v>26</v>
      </c>
      <c r="B12" s="57" t="s">
        <v>790</v>
      </c>
      <c r="C12" s="35" t="s">
        <v>29</v>
      </c>
      <c r="D12" s="64">
        <v>40</v>
      </c>
      <c r="E12" s="36"/>
      <c r="F12" s="36">
        <f>Tabela42[[#This Row],[Ilość]]*Tabela42[[#This Row],[C.j. netto]]</f>
        <v>0</v>
      </c>
      <c r="G12" s="37"/>
      <c r="H12" s="38"/>
      <c r="I12" s="37"/>
      <c r="J12" s="37"/>
      <c r="K12" s="37"/>
      <c r="L12" s="37"/>
    </row>
    <row r="13" spans="1:13">
      <c r="A13" s="202" t="s">
        <v>27</v>
      </c>
      <c r="B13" s="57" t="s">
        <v>791</v>
      </c>
      <c r="C13" s="35" t="s">
        <v>29</v>
      </c>
      <c r="D13" s="64">
        <v>40</v>
      </c>
      <c r="E13" s="36"/>
      <c r="F13" s="36">
        <f>Tabela42[[#This Row],[Ilość]]*Tabela42[[#This Row],[C.j. netto]]</f>
        <v>0</v>
      </c>
      <c r="G13" s="37"/>
      <c r="H13" s="38"/>
      <c r="I13" s="37"/>
      <c r="J13" s="37"/>
      <c r="K13" s="37"/>
      <c r="L13" s="37"/>
    </row>
    <row r="14" spans="1:13">
      <c r="A14" s="202" t="s">
        <v>1317</v>
      </c>
      <c r="B14" s="57" t="s">
        <v>1257</v>
      </c>
      <c r="C14" s="35" t="s">
        <v>29</v>
      </c>
      <c r="D14" s="64">
        <v>150</v>
      </c>
      <c r="E14" s="36"/>
      <c r="F14" s="36">
        <f>Tabela42[[#This Row],[Ilość]]*Tabela42[[#This Row],[C.j. netto]]</f>
        <v>0</v>
      </c>
      <c r="G14" s="37"/>
      <c r="H14" s="38"/>
      <c r="I14" s="37"/>
      <c r="J14" s="37"/>
      <c r="K14" s="37"/>
      <c r="L14" s="37"/>
    </row>
    <row r="15" spans="1:13">
      <c r="A15" s="202" t="s">
        <v>34</v>
      </c>
      <c r="B15" s="57" t="s">
        <v>792</v>
      </c>
      <c r="C15" s="35" t="s">
        <v>29</v>
      </c>
      <c r="D15" s="64">
        <v>110</v>
      </c>
      <c r="E15" s="36"/>
      <c r="F15" s="36">
        <f>Tabela42[[#This Row],[Ilość]]*Tabela42[[#This Row],[C.j. netto]]</f>
        <v>0</v>
      </c>
      <c r="G15" s="37"/>
      <c r="H15" s="38"/>
      <c r="I15" s="37"/>
      <c r="J15" s="37"/>
      <c r="K15" s="37"/>
      <c r="L15" s="37"/>
    </row>
    <row r="16" spans="1:13">
      <c r="A16" s="202" t="s">
        <v>36</v>
      </c>
      <c r="B16" s="57" t="s">
        <v>793</v>
      </c>
      <c r="C16" s="35" t="s">
        <v>29</v>
      </c>
      <c r="D16" s="64">
        <v>40</v>
      </c>
      <c r="E16" s="36"/>
      <c r="F16" s="36">
        <f>Tabela42[[#This Row],[Ilość]]*Tabela42[[#This Row],[C.j. netto]]</f>
        <v>0</v>
      </c>
      <c r="G16" s="37"/>
      <c r="H16" s="38"/>
      <c r="I16" s="37"/>
      <c r="J16" s="37"/>
      <c r="K16" s="37"/>
      <c r="L16" s="37"/>
    </row>
    <row r="17" spans="1:12">
      <c r="A17" s="202" t="s">
        <v>38</v>
      </c>
      <c r="B17" s="142" t="s">
        <v>708</v>
      </c>
      <c r="C17" s="143" t="s">
        <v>29</v>
      </c>
      <c r="D17" s="130">
        <v>45</v>
      </c>
      <c r="E17" s="144"/>
      <c r="F17" s="36">
        <f>Tabela42[[#This Row],[Ilość]]*Tabela42[[#This Row],[C.j. netto]]</f>
        <v>0</v>
      </c>
      <c r="G17" s="37"/>
      <c r="H17" s="38"/>
      <c r="I17" s="37"/>
      <c r="J17" s="37"/>
      <c r="K17" s="37"/>
      <c r="L17" s="37"/>
    </row>
    <row r="18" spans="1:12">
      <c r="A18" s="202" t="s">
        <v>40</v>
      </c>
      <c r="B18" s="57" t="s">
        <v>794</v>
      </c>
      <c r="C18" s="35" t="s">
        <v>29</v>
      </c>
      <c r="D18" s="64">
        <v>50</v>
      </c>
      <c r="E18" s="36"/>
      <c r="F18" s="36">
        <f>Tabela42[[#This Row],[Ilość]]*Tabela42[[#This Row],[C.j. netto]]</f>
        <v>0</v>
      </c>
      <c r="G18" s="37"/>
      <c r="H18" s="38"/>
      <c r="I18" s="37"/>
      <c r="J18" s="37"/>
      <c r="K18" s="37"/>
      <c r="L18" s="37"/>
    </row>
    <row r="19" spans="1:12">
      <c r="A19" s="202" t="s">
        <v>42</v>
      </c>
      <c r="B19" s="57" t="s">
        <v>795</v>
      </c>
      <c r="C19" s="35" t="s">
        <v>29</v>
      </c>
      <c r="D19" s="64">
        <v>60</v>
      </c>
      <c r="E19" s="36"/>
      <c r="F19" s="36">
        <f>Tabela42[[#This Row],[Ilość]]*Tabela42[[#This Row],[C.j. netto]]</f>
        <v>0</v>
      </c>
      <c r="G19" s="37"/>
      <c r="H19" s="38"/>
      <c r="I19" s="37"/>
      <c r="J19" s="37"/>
      <c r="K19" s="37"/>
      <c r="L19" s="37"/>
    </row>
    <row r="20" spans="1:12">
      <c r="A20" s="202" t="s">
        <v>45</v>
      </c>
      <c r="B20" s="57" t="s">
        <v>796</v>
      </c>
      <c r="C20" s="35" t="s">
        <v>29</v>
      </c>
      <c r="D20" s="64">
        <v>6</v>
      </c>
      <c r="E20" s="36"/>
      <c r="F20" s="36">
        <f>Tabela42[[#This Row],[Ilość]]*Tabela42[[#This Row],[C.j. netto]]</f>
        <v>0</v>
      </c>
      <c r="G20" s="37"/>
      <c r="H20" s="38"/>
      <c r="I20" s="37"/>
      <c r="J20" s="37"/>
      <c r="K20" s="37"/>
      <c r="L20" s="37"/>
    </row>
    <row r="21" spans="1:12">
      <c r="A21" s="202" t="s">
        <v>47</v>
      </c>
      <c r="B21" s="57" t="s">
        <v>797</v>
      </c>
      <c r="C21" s="35" t="s">
        <v>29</v>
      </c>
      <c r="D21" s="64">
        <v>100</v>
      </c>
      <c r="E21" s="36"/>
      <c r="F21" s="36">
        <f>Tabela42[[#This Row],[Ilość]]*Tabela42[[#This Row],[C.j. netto]]</f>
        <v>0</v>
      </c>
      <c r="G21" s="37"/>
      <c r="H21" s="38"/>
      <c r="I21" s="37"/>
      <c r="J21" s="37"/>
      <c r="K21" s="37"/>
      <c r="L21" s="37"/>
    </row>
    <row r="22" spans="1:12">
      <c r="A22" s="202" t="s">
        <v>48</v>
      </c>
      <c r="B22" s="57" t="s">
        <v>798</v>
      </c>
      <c r="C22" s="35" t="s">
        <v>29</v>
      </c>
      <c r="D22" s="64">
        <v>20</v>
      </c>
      <c r="E22" s="36"/>
      <c r="F22" s="36">
        <f>Tabela42[[#This Row],[Ilość]]*Tabela42[[#This Row],[C.j. netto]]</f>
        <v>0</v>
      </c>
      <c r="G22" s="37"/>
      <c r="H22" s="38"/>
      <c r="I22" s="37"/>
      <c r="J22" s="37"/>
      <c r="K22" s="37"/>
      <c r="L22" s="37"/>
    </row>
    <row r="23" spans="1:12">
      <c r="A23" s="202" t="s">
        <v>49</v>
      </c>
      <c r="B23" s="57" t="s">
        <v>799</v>
      </c>
      <c r="C23" s="35" t="s">
        <v>29</v>
      </c>
      <c r="D23" s="64">
        <v>20</v>
      </c>
      <c r="E23" s="36"/>
      <c r="F23" s="36">
        <f>Tabela42[[#This Row],[Ilość]]*Tabela42[[#This Row],[C.j. netto]]</f>
        <v>0</v>
      </c>
      <c r="G23" s="37"/>
      <c r="H23" s="38"/>
      <c r="I23" s="37"/>
      <c r="J23" s="37"/>
      <c r="K23" s="37"/>
      <c r="L23" s="37"/>
    </row>
    <row r="24" spans="1:12">
      <c r="A24" s="202" t="s">
        <v>50</v>
      </c>
      <c r="B24" s="57" t="s">
        <v>800</v>
      </c>
      <c r="C24" s="35" t="s">
        <v>29</v>
      </c>
      <c r="D24" s="64">
        <v>20</v>
      </c>
      <c r="E24" s="36"/>
      <c r="F24" s="36">
        <f>Tabela42[[#This Row],[Ilość]]*Tabela42[[#This Row],[C.j. netto]]</f>
        <v>0</v>
      </c>
      <c r="G24" s="37"/>
      <c r="H24" s="38"/>
      <c r="I24" s="37"/>
      <c r="J24" s="37"/>
      <c r="K24" s="37"/>
      <c r="L24" s="37"/>
    </row>
    <row r="25" spans="1:12">
      <c r="A25" s="202" t="s">
        <v>52</v>
      </c>
      <c r="B25" s="57" t="s">
        <v>801</v>
      </c>
      <c r="C25" s="111" t="s">
        <v>29</v>
      </c>
      <c r="D25" s="35">
        <v>150</v>
      </c>
      <c r="E25" s="100"/>
      <c r="F25" s="36">
        <f>Tabela42[[#This Row],[Ilość]]*Tabela42[[#This Row],[C.j. netto]]</f>
        <v>0</v>
      </c>
      <c r="G25" s="37"/>
      <c r="H25" s="38"/>
      <c r="I25" s="37"/>
      <c r="J25" s="37"/>
      <c r="K25" s="37"/>
      <c r="L25" s="37"/>
    </row>
    <row r="26" spans="1:12">
      <c r="A26" s="202" t="s">
        <v>54</v>
      </c>
      <c r="B26" s="57" t="s">
        <v>802</v>
      </c>
      <c r="C26" s="35" t="s">
        <v>29</v>
      </c>
      <c r="D26" s="64">
        <v>60</v>
      </c>
      <c r="E26" s="36"/>
      <c r="F26" s="36">
        <f>Tabela42[[#This Row],[Ilość]]*Tabela42[[#This Row],[C.j. netto]]</f>
        <v>0</v>
      </c>
      <c r="G26" s="37"/>
      <c r="H26" s="38"/>
      <c r="I26" s="37"/>
      <c r="J26" s="37"/>
      <c r="K26" s="37"/>
      <c r="L26" s="37"/>
    </row>
    <row r="27" spans="1:12">
      <c r="A27" s="202" t="s">
        <v>56</v>
      </c>
      <c r="B27" s="57" t="s">
        <v>803</v>
      </c>
      <c r="C27" s="111" t="s">
        <v>29</v>
      </c>
      <c r="D27" s="35">
        <v>260</v>
      </c>
      <c r="E27" s="100"/>
      <c r="F27" s="36">
        <f>Tabela42[[#This Row],[Ilość]]*Tabela42[[#This Row],[C.j. netto]]</f>
        <v>0</v>
      </c>
      <c r="G27" s="37"/>
      <c r="H27" s="38"/>
      <c r="I27" s="37"/>
      <c r="J27" s="37"/>
      <c r="K27" s="37"/>
      <c r="L27" s="37"/>
    </row>
    <row r="28" spans="1:12">
      <c r="A28" s="202" t="s">
        <v>57</v>
      </c>
      <c r="B28" s="57" t="s">
        <v>804</v>
      </c>
      <c r="C28" s="35" t="s">
        <v>29</v>
      </c>
      <c r="D28" s="64">
        <v>800</v>
      </c>
      <c r="E28" s="36"/>
      <c r="F28" s="36">
        <f>Tabela42[[#This Row],[Ilość]]*Tabela42[[#This Row],[C.j. netto]]</f>
        <v>0</v>
      </c>
      <c r="G28" s="37"/>
      <c r="H28" s="38"/>
      <c r="I28" s="37"/>
      <c r="J28" s="37"/>
      <c r="K28" s="37"/>
      <c r="L28" s="37"/>
    </row>
    <row r="29" spans="1:12">
      <c r="A29" s="202" t="s">
        <v>59</v>
      </c>
      <c r="B29" s="57" t="s">
        <v>805</v>
      </c>
      <c r="C29" s="35" t="s">
        <v>29</v>
      </c>
      <c r="D29" s="64">
        <v>20</v>
      </c>
      <c r="E29" s="36"/>
      <c r="F29" s="36">
        <f>Tabela42[[#This Row],[Ilość]]*Tabela42[[#This Row],[C.j. netto]]</f>
        <v>0</v>
      </c>
      <c r="G29" s="37"/>
      <c r="H29" s="38"/>
      <c r="I29" s="37"/>
      <c r="J29" s="37"/>
      <c r="K29" s="37"/>
      <c r="L29" s="37"/>
    </row>
    <row r="30" spans="1:12">
      <c r="A30" s="202" t="s">
        <v>61</v>
      </c>
      <c r="B30" s="57" t="s">
        <v>806</v>
      </c>
      <c r="C30" s="35" t="s">
        <v>29</v>
      </c>
      <c r="D30" s="64">
        <v>20</v>
      </c>
      <c r="E30" s="36"/>
      <c r="F30" s="36">
        <f>Tabela42[[#This Row],[Ilość]]*Tabela42[[#This Row],[C.j. netto]]</f>
        <v>0</v>
      </c>
      <c r="G30" s="37"/>
      <c r="H30" s="38"/>
      <c r="I30" s="37"/>
      <c r="J30" s="37"/>
      <c r="K30" s="37"/>
      <c r="L30" s="37"/>
    </row>
    <row r="31" spans="1:12">
      <c r="A31" s="9" t="s">
        <v>118</v>
      </c>
      <c r="B31" s="7"/>
      <c r="C31" s="25"/>
      <c r="D31" s="25"/>
      <c r="E31" s="12"/>
      <c r="F31" s="61">
        <f>SUBTOTAL(109,Tabela42[Wartość netto])</f>
        <v>0</v>
      </c>
      <c r="G31" s="12"/>
      <c r="H31" s="25"/>
      <c r="I31" s="12"/>
      <c r="J31" s="12"/>
      <c r="K31" s="12"/>
      <c r="L31" s="12"/>
    </row>
    <row r="32" spans="1:12">
      <c r="A32" s="27"/>
      <c r="B32" s="60"/>
      <c r="E32"/>
      <c r="F32" s="28"/>
      <c r="H32" s="24"/>
    </row>
    <row r="33" spans="1:12" ht="30">
      <c r="A33" s="10" t="s">
        <v>115</v>
      </c>
      <c r="B33" s="5"/>
    </row>
    <row r="34" spans="1:12" ht="15">
      <c r="A34" s="11" t="s">
        <v>116</v>
      </c>
      <c r="B34" s="5"/>
      <c r="L34" s="17"/>
    </row>
    <row r="35" spans="1:12" ht="15">
      <c r="A35" s="11" t="s">
        <v>117</v>
      </c>
      <c r="B35" s="5"/>
      <c r="L35" s="32" t="s">
        <v>119</v>
      </c>
    </row>
    <row r="52" ht="30" customHeight="1"/>
    <row r="53" ht="30" customHeight="1"/>
    <row r="54" ht="30" customHeight="1"/>
    <row r="55" ht="30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45A8-D330-4DD4-A41C-5537A8ED084B}">
  <sheetPr>
    <pageSetUpPr fitToPage="1"/>
  </sheetPr>
  <dimension ref="A1:M17"/>
  <sheetViews>
    <sheetView workbookViewId="0">
      <selection activeCell="D10" sqref="D10"/>
    </sheetView>
    <sheetView workbookViewId="1"/>
    <sheetView workbookViewId="2">
      <selection activeCell="E9" sqref="E9:E11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807</v>
      </c>
      <c r="B1" s="20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9.25" customHeight="1">
      <c r="A9" s="215" t="s">
        <v>4</v>
      </c>
      <c r="B9" s="74" t="s">
        <v>808</v>
      </c>
      <c r="C9" s="64" t="s">
        <v>327</v>
      </c>
      <c r="D9" s="64">
        <v>110</v>
      </c>
      <c r="E9" s="75"/>
      <c r="F9" s="75">
        <f>Tabela43[[#This Row],[Ilość]]*Tabela43[[#This Row],[C.j. netto]]</f>
        <v>0</v>
      </c>
      <c r="G9" s="37"/>
      <c r="H9" s="38"/>
      <c r="I9" s="66"/>
      <c r="J9" s="37"/>
      <c r="K9" s="37"/>
      <c r="L9" s="39"/>
    </row>
    <row r="10" spans="1:13">
      <c r="A10" s="76" t="s">
        <v>5</v>
      </c>
      <c r="B10" s="77" t="s">
        <v>809</v>
      </c>
      <c r="C10" s="64" t="s">
        <v>415</v>
      </c>
      <c r="D10" s="64">
        <v>90</v>
      </c>
      <c r="E10" s="75"/>
      <c r="F10" s="75">
        <f>Tabela43[[#This Row],[Ilość]]*Tabela43[[#This Row],[C.j. netto]]</f>
        <v>0</v>
      </c>
      <c r="G10" s="37"/>
      <c r="H10" s="38"/>
      <c r="I10" s="37"/>
      <c r="J10" s="37"/>
      <c r="K10" s="37"/>
      <c r="L10" s="39"/>
    </row>
    <row r="11" spans="1:13">
      <c r="A11" s="13" t="s">
        <v>118</v>
      </c>
      <c r="B11" s="58"/>
      <c r="C11" s="26"/>
      <c r="D11" s="26"/>
      <c r="E11" s="15"/>
      <c r="F11" s="31">
        <f>SUBTOTAL(109,Tabela43[Wartość netto])</f>
        <v>0</v>
      </c>
      <c r="G11" s="15"/>
      <c r="H11" s="26"/>
      <c r="I11" s="15"/>
      <c r="J11" s="15"/>
      <c r="K11" s="15"/>
      <c r="L11" s="16"/>
    </row>
    <row r="12" spans="1:13">
      <c r="A12" s="27"/>
      <c r="B12" s="60"/>
      <c r="E12"/>
      <c r="F12" s="28"/>
      <c r="H12" s="24"/>
    </row>
    <row r="13" spans="1:13" ht="30">
      <c r="A13" s="10" t="s">
        <v>115</v>
      </c>
      <c r="B13" s="5"/>
    </row>
    <row r="14" spans="1:13" ht="15">
      <c r="A14" s="11" t="s">
        <v>116</v>
      </c>
      <c r="B14" s="5"/>
      <c r="L14" s="17"/>
    </row>
    <row r="15" spans="1:13" ht="30" customHeight="1">
      <c r="A15" s="11" t="s">
        <v>117</v>
      </c>
      <c r="B15" s="5"/>
      <c r="L15" s="32" t="s">
        <v>119</v>
      </c>
    </row>
    <row r="16" spans="1:13" ht="30" customHeight="1"/>
    <row r="17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AD2F-81BD-4C40-8D5D-05EF343A9FA5}">
  <sheetPr>
    <pageSetUpPr fitToPage="1"/>
  </sheetPr>
  <dimension ref="A1:M59"/>
  <sheetViews>
    <sheetView workbookViewId="0">
      <selection activeCell="B2" sqref="B2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810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84" t="s">
        <v>0</v>
      </c>
      <c r="B8" s="85" t="s">
        <v>15</v>
      </c>
      <c r="C8" s="85" t="s">
        <v>1</v>
      </c>
      <c r="D8" s="86" t="s">
        <v>2</v>
      </c>
      <c r="E8" s="87" t="s">
        <v>9</v>
      </c>
      <c r="F8" s="87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63.75">
      <c r="A9" s="94" t="s">
        <v>4</v>
      </c>
      <c r="B9" s="93" t="s">
        <v>1081</v>
      </c>
      <c r="C9" s="92" t="s">
        <v>29</v>
      </c>
      <c r="D9" s="99">
        <v>10</v>
      </c>
      <c r="E9" s="95"/>
      <c r="F9" s="95">
        <f>Tabela44[[#This Row],[Ilość]]*Tabela44[[#This Row],[C.j. netto]]</f>
        <v>0</v>
      </c>
      <c r="G9" s="83"/>
      <c r="H9" s="38"/>
      <c r="I9" s="37"/>
      <c r="J9" s="37"/>
      <c r="K9" s="37"/>
      <c r="L9" s="39"/>
    </row>
    <row r="10" spans="1:13">
      <c r="A10" s="88"/>
      <c r="B10" s="89"/>
      <c r="C10" s="90"/>
      <c r="D10" s="90"/>
      <c r="E10" s="97"/>
      <c r="F10" s="91">
        <f>SUBTOTAL(109,Tabela44[Wartość netto])</f>
        <v>0</v>
      </c>
      <c r="G10" s="15"/>
      <c r="H10" s="26"/>
      <c r="I10" s="15"/>
      <c r="J10" s="15"/>
      <c r="K10" s="15"/>
      <c r="L10" s="16"/>
    </row>
    <row r="13" spans="1:13" ht="30">
      <c r="A13" s="10" t="s">
        <v>115</v>
      </c>
      <c r="B13" s="5"/>
    </row>
    <row r="14" spans="1:13" ht="15">
      <c r="A14" s="11" t="s">
        <v>116</v>
      </c>
      <c r="B14" s="5"/>
      <c r="L14" s="17"/>
    </row>
    <row r="15" spans="1:13" ht="15">
      <c r="A15" s="11" t="s">
        <v>117</v>
      </c>
      <c r="B15" s="5"/>
      <c r="L15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9BEDC-83EE-4A91-8725-D5386CB11620}">
  <sheetPr>
    <pageSetUpPr fitToPage="1"/>
  </sheetPr>
  <dimension ref="A1:M62"/>
  <sheetViews>
    <sheetView workbookViewId="0">
      <selection activeCell="B11" sqref="B11"/>
    </sheetView>
    <sheetView workbookViewId="1"/>
    <sheetView workbookViewId="2">
      <selection activeCell="E9" sqref="E9:E13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811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84" t="s">
        <v>0</v>
      </c>
      <c r="B8" s="85" t="s">
        <v>15</v>
      </c>
      <c r="C8" s="85" t="s">
        <v>1</v>
      </c>
      <c r="D8" s="86" t="s">
        <v>2</v>
      </c>
      <c r="E8" s="87" t="s">
        <v>9</v>
      </c>
      <c r="F8" s="87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38.25">
      <c r="A9" s="227" t="s">
        <v>4</v>
      </c>
      <c r="B9" s="223" t="s">
        <v>1336</v>
      </c>
      <c r="C9" s="191" t="s">
        <v>16</v>
      </c>
      <c r="D9" s="94">
        <v>90</v>
      </c>
      <c r="E9" s="94"/>
      <c r="F9" s="95">
        <f>Tabela45[[#This Row],[Ilość]]*Tabela45[[#This Row],[C.j. netto]]</f>
        <v>0</v>
      </c>
      <c r="G9" s="225"/>
      <c r="H9" s="132"/>
      <c r="I9" s="225"/>
      <c r="J9" s="225"/>
      <c r="K9" s="225"/>
      <c r="L9" s="226"/>
      <c r="M9" s="1"/>
    </row>
    <row r="10" spans="1:13" ht="25.5">
      <c r="A10" s="227" t="s">
        <v>5</v>
      </c>
      <c r="B10" s="224" t="s">
        <v>1337</v>
      </c>
      <c r="C10" s="92" t="s">
        <v>16</v>
      </c>
      <c r="D10" s="94">
        <v>50</v>
      </c>
      <c r="E10" s="94"/>
      <c r="F10" s="95">
        <f>Tabela45[[#This Row],[Ilość]]*Tabela45[[#This Row],[C.j. netto]]</f>
        <v>0</v>
      </c>
      <c r="G10" s="225"/>
      <c r="H10" s="132"/>
      <c r="I10" s="225"/>
      <c r="J10" s="225"/>
      <c r="K10" s="225"/>
      <c r="L10" s="226"/>
      <c r="M10" s="1"/>
    </row>
    <row r="11" spans="1:13" ht="26.25" thickBot="1">
      <c r="A11" s="227" t="s">
        <v>6</v>
      </c>
      <c r="B11" s="222" t="s">
        <v>1332</v>
      </c>
      <c r="C11" s="191" t="s">
        <v>16</v>
      </c>
      <c r="D11" s="94">
        <v>280</v>
      </c>
      <c r="E11" s="94"/>
      <c r="F11" s="95">
        <f>Tabela45[[#This Row],[Ilość]]*Tabela45[[#This Row],[C.j. netto]]</f>
        <v>0</v>
      </c>
      <c r="G11" s="96"/>
      <c r="H11" s="38"/>
      <c r="I11" s="37"/>
      <c r="J11" s="37"/>
      <c r="K11" s="37"/>
      <c r="L11" s="39"/>
    </row>
    <row r="12" spans="1:13" ht="38.25">
      <c r="A12" s="227" t="s">
        <v>26</v>
      </c>
      <c r="B12" s="223" t="s">
        <v>1333</v>
      </c>
      <c r="C12" s="191" t="s">
        <v>16</v>
      </c>
      <c r="D12" s="94">
        <v>20</v>
      </c>
      <c r="E12" s="94"/>
      <c r="F12" s="95">
        <f>Tabela45[[#This Row],[Ilość]]*Tabela45[[#This Row],[C.j. netto]]</f>
        <v>0</v>
      </c>
      <c r="G12" s="96"/>
      <c r="H12" s="38"/>
      <c r="I12" s="37"/>
      <c r="J12" s="37"/>
      <c r="K12" s="37"/>
      <c r="L12" s="39"/>
    </row>
    <row r="13" spans="1:13">
      <c r="A13" s="88" t="s">
        <v>118</v>
      </c>
      <c r="B13" s="89"/>
      <c r="C13" s="90"/>
      <c r="D13" s="90"/>
      <c r="E13" s="97"/>
      <c r="F13" s="91">
        <f>SUBTOTAL(109,Tabela45[Wartość netto])</f>
        <v>0</v>
      </c>
      <c r="G13" s="15"/>
      <c r="H13" s="26"/>
      <c r="I13" s="15"/>
      <c r="J13" s="15"/>
      <c r="K13" s="15"/>
      <c r="L13" s="16"/>
    </row>
    <row r="15" spans="1:13" ht="15">
      <c r="A15" s="4" t="s">
        <v>1338</v>
      </c>
      <c r="B15" s="59" t="s">
        <v>1339</v>
      </c>
    </row>
    <row r="18" spans="1:12" ht="30">
      <c r="A18" s="10" t="s">
        <v>115</v>
      </c>
      <c r="B18" s="5"/>
    </row>
    <row r="19" spans="1:12" ht="15">
      <c r="A19" s="11" t="s">
        <v>116</v>
      </c>
      <c r="B19" s="5"/>
      <c r="L19" s="17"/>
    </row>
    <row r="20" spans="1:12" ht="15">
      <c r="A20" s="11" t="s">
        <v>117</v>
      </c>
      <c r="B20" s="5"/>
      <c r="L20" s="32" t="s">
        <v>119</v>
      </c>
    </row>
    <row r="21" spans="1:12">
      <c r="E21" s="3"/>
    </row>
    <row r="60" ht="30" customHeight="1"/>
    <row r="61" ht="30" customHeight="1"/>
    <row r="62" ht="30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97386-75FC-4939-86BD-6211FB7ED1E4}">
  <sheetPr>
    <pageSetUpPr fitToPage="1"/>
  </sheetPr>
  <dimension ref="A1:M16"/>
  <sheetViews>
    <sheetView workbookViewId="0">
      <selection activeCell="B8" sqref="B8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813</v>
      </c>
      <c r="B1" s="20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s="184" customFormat="1" ht="29.25" customHeight="1">
      <c r="A9" s="216" t="s">
        <v>4</v>
      </c>
      <c r="B9" s="53" t="s">
        <v>812</v>
      </c>
      <c r="C9" s="112" t="s">
        <v>29</v>
      </c>
      <c r="D9" s="104">
        <v>15</v>
      </c>
      <c r="E9" s="54"/>
      <c r="F9" s="54">
        <f>Tabela46[[#This Row],[Ilość]]*Tabela46[[#This Row],[C.j. netto]]</f>
        <v>0</v>
      </c>
      <c r="G9" s="112"/>
      <c r="H9" s="54"/>
      <c r="I9" s="182"/>
      <c r="J9" s="112"/>
      <c r="K9" s="112"/>
      <c r="L9" s="183"/>
    </row>
    <row r="10" spans="1:13">
      <c r="A10" s="13" t="s">
        <v>118</v>
      </c>
      <c r="B10" s="58"/>
      <c r="C10" s="26"/>
      <c r="D10" s="26"/>
      <c r="E10" s="15"/>
      <c r="F10" s="31">
        <f>SUBTOTAL(109,Tabela46[Wartość netto])</f>
        <v>0</v>
      </c>
      <c r="G10" s="15"/>
      <c r="H10" s="26"/>
      <c r="I10" s="15"/>
      <c r="J10" s="15"/>
      <c r="K10" s="15"/>
      <c r="L10" s="16"/>
    </row>
    <row r="12" spans="1:13" ht="30">
      <c r="A12" s="10" t="s">
        <v>115</v>
      </c>
      <c r="B12" s="5"/>
    </row>
    <row r="13" spans="1:13" ht="15">
      <c r="A13" s="11" t="s">
        <v>116</v>
      </c>
      <c r="B13" s="5"/>
      <c r="L13" s="17"/>
    </row>
    <row r="14" spans="1:13" ht="30" customHeight="1">
      <c r="A14" s="11" t="s">
        <v>117</v>
      </c>
      <c r="B14" s="5"/>
      <c r="L14" s="32" t="s">
        <v>119</v>
      </c>
    </row>
    <row r="15" spans="1:13" ht="30" customHeight="1"/>
    <row r="16" spans="1:13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8523-715D-4ADC-B62E-27B624E03FE5}">
  <sheetPr>
    <pageSetUpPr fitToPage="1"/>
  </sheetPr>
  <dimension ref="A1:M19"/>
  <sheetViews>
    <sheetView workbookViewId="0">
      <selection activeCell="B10" sqref="B10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814</v>
      </c>
      <c r="B1" s="21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48" t="s">
        <v>4</v>
      </c>
      <c r="B9" s="53" t="s">
        <v>819</v>
      </c>
      <c r="C9" s="50" t="s">
        <v>29</v>
      </c>
      <c r="D9" s="50">
        <v>40</v>
      </c>
      <c r="E9" s="52"/>
      <c r="F9" s="54">
        <f>Tabela47[[#This Row],[Ilość]]*Tabela47[[#This Row],[C.j. netto]]</f>
        <v>0</v>
      </c>
      <c r="G9" s="37"/>
      <c r="H9" s="38"/>
      <c r="I9" s="37"/>
      <c r="J9" s="37"/>
      <c r="K9" s="37"/>
      <c r="L9" s="39"/>
    </row>
    <row r="10" spans="1:13">
      <c r="A10" s="13" t="s">
        <v>118</v>
      </c>
      <c r="B10" s="14"/>
      <c r="C10" s="26"/>
      <c r="D10" s="26"/>
      <c r="E10" s="29"/>
      <c r="F10" s="31">
        <f>SUBTOTAL(109,Tabela47[Wartość netto])</f>
        <v>0</v>
      </c>
      <c r="G10" s="15"/>
      <c r="H10" s="30"/>
      <c r="I10" s="15"/>
      <c r="J10" s="15"/>
      <c r="K10" s="15"/>
      <c r="L10" s="16"/>
    </row>
    <row r="11" spans="1:13">
      <c r="A11" s="27"/>
      <c r="E11" s="55"/>
      <c r="F11" s="28"/>
      <c r="H11" s="56"/>
    </row>
    <row r="12" spans="1:13" ht="75">
      <c r="A12" s="189" t="s">
        <v>1248</v>
      </c>
      <c r="B12" s="190" t="s">
        <v>1249</v>
      </c>
      <c r="E12" s="55"/>
      <c r="F12" s="28"/>
      <c r="H12" s="56"/>
    </row>
    <row r="13" spans="1:13">
      <c r="A13" s="27"/>
      <c r="E13" s="55"/>
      <c r="F13" s="28"/>
      <c r="H13" s="56"/>
    </row>
    <row r="14" spans="1:13" ht="15">
      <c r="A14" s="47"/>
    </row>
    <row r="16" spans="1:13" ht="30">
      <c r="A16" s="10" t="s">
        <v>115</v>
      </c>
      <c r="B16" s="5"/>
    </row>
    <row r="17" spans="1:12" ht="30" customHeight="1">
      <c r="A17" s="11" t="s">
        <v>116</v>
      </c>
      <c r="B17" s="5"/>
      <c r="L17" s="17"/>
    </row>
    <row r="18" spans="1:12" ht="30" customHeight="1">
      <c r="A18" s="11" t="s">
        <v>117</v>
      </c>
      <c r="B18" s="5"/>
      <c r="L18" s="32" t="s">
        <v>119</v>
      </c>
    </row>
    <row r="19" spans="1:12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6C473-94A1-49BC-BE73-ACAD24C1AAC5}">
  <sheetPr>
    <pageSetUpPr fitToPage="1"/>
  </sheetPr>
  <dimension ref="A1:M54"/>
  <sheetViews>
    <sheetView workbookViewId="0">
      <selection activeCell="E25" sqref="E25"/>
    </sheetView>
    <sheetView workbookViewId="1">
      <selection activeCell="C20" sqref="C20"/>
    </sheetView>
    <sheetView workbookViewId="2">
      <selection activeCell="E9" sqref="E9:E27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815</v>
      </c>
      <c r="B1" s="19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202" t="s">
        <v>4</v>
      </c>
      <c r="B9" s="53" t="s">
        <v>821</v>
      </c>
      <c r="C9" s="50" t="s">
        <v>29</v>
      </c>
      <c r="D9" s="105">
        <v>300</v>
      </c>
      <c r="E9" s="51"/>
      <c r="F9" s="51">
        <f>Tabela48[[#This Row],[Ilość]]*Tabela48[[#This Row],[C.j. netto]]</f>
        <v>0</v>
      </c>
      <c r="G9" s="37"/>
      <c r="H9" s="38"/>
      <c r="I9" s="37"/>
      <c r="J9" s="37"/>
      <c r="K9" s="37"/>
      <c r="L9" s="37"/>
    </row>
    <row r="10" spans="1:13">
      <c r="A10" s="202" t="s">
        <v>5</v>
      </c>
      <c r="B10" s="53" t="s">
        <v>822</v>
      </c>
      <c r="C10" s="50" t="s">
        <v>29</v>
      </c>
      <c r="D10" s="105">
        <v>1000</v>
      </c>
      <c r="E10" s="51"/>
      <c r="F10" s="51">
        <f>Tabela48[[#This Row],[Ilość]]*Tabela48[[#This Row],[C.j. netto]]</f>
        <v>0</v>
      </c>
      <c r="G10" s="37"/>
      <c r="H10" s="38"/>
      <c r="I10" s="37"/>
      <c r="J10" s="37"/>
      <c r="K10" s="37"/>
      <c r="L10" s="37"/>
    </row>
    <row r="11" spans="1:13">
      <c r="A11" s="202" t="s">
        <v>6</v>
      </c>
      <c r="B11" s="53" t="s">
        <v>823</v>
      </c>
      <c r="C11" s="50" t="s">
        <v>29</v>
      </c>
      <c r="D11" s="105">
        <v>140</v>
      </c>
      <c r="E11" s="51"/>
      <c r="F11" s="51">
        <f>Tabela48[[#This Row],[Ilość]]*Tabela48[[#This Row],[C.j. netto]]</f>
        <v>0</v>
      </c>
      <c r="G11" s="37"/>
      <c r="H11" s="38"/>
      <c r="I11" s="37"/>
      <c r="J11" s="37"/>
      <c r="K11" s="37"/>
      <c r="L11" s="37"/>
    </row>
    <row r="12" spans="1:13">
      <c r="A12" s="202" t="s">
        <v>26</v>
      </c>
      <c r="B12" s="53" t="s">
        <v>824</v>
      </c>
      <c r="C12" s="50" t="s">
        <v>29</v>
      </c>
      <c r="D12" s="105">
        <v>100</v>
      </c>
      <c r="E12" s="51"/>
      <c r="F12" s="51">
        <f>Tabela48[[#This Row],[Ilość]]*Tabela48[[#This Row],[C.j. netto]]</f>
        <v>0</v>
      </c>
      <c r="G12" s="37"/>
      <c r="H12" s="38"/>
      <c r="I12" s="37"/>
      <c r="J12" s="37"/>
      <c r="K12" s="37"/>
      <c r="L12" s="37"/>
    </row>
    <row r="13" spans="1:13">
      <c r="A13" s="202" t="s">
        <v>27</v>
      </c>
      <c r="B13" s="53" t="s">
        <v>825</v>
      </c>
      <c r="C13" s="50" t="s">
        <v>29</v>
      </c>
      <c r="D13" s="105">
        <v>8</v>
      </c>
      <c r="E13" s="51"/>
      <c r="F13" s="51">
        <f>Tabela48[[#This Row],[Ilość]]*Tabela48[[#This Row],[C.j. netto]]</f>
        <v>0</v>
      </c>
      <c r="G13" s="37"/>
      <c r="H13" s="38"/>
      <c r="I13" s="37"/>
      <c r="J13" s="37"/>
      <c r="K13" s="37"/>
      <c r="L13" s="37"/>
    </row>
    <row r="14" spans="1:13" ht="25.5">
      <c r="A14" s="202" t="s">
        <v>32</v>
      </c>
      <c r="B14" s="53" t="s">
        <v>837</v>
      </c>
      <c r="C14" s="50" t="s">
        <v>29</v>
      </c>
      <c r="D14" s="106">
        <v>2200</v>
      </c>
      <c r="E14" s="51"/>
      <c r="F14" s="51">
        <f>Tabela48[[#This Row],[Ilość]]*Tabela48[[#This Row],[C.j. netto]]</f>
        <v>0</v>
      </c>
      <c r="G14" s="37"/>
      <c r="H14" s="38"/>
      <c r="I14" s="37"/>
      <c r="J14" s="37"/>
      <c r="K14" s="37"/>
      <c r="L14" s="37"/>
    </row>
    <row r="15" spans="1:13" ht="25.5">
      <c r="A15" s="202" t="s">
        <v>34</v>
      </c>
      <c r="B15" s="53" t="s">
        <v>836</v>
      </c>
      <c r="C15" s="50" t="s">
        <v>29</v>
      </c>
      <c r="D15" s="106">
        <v>1300</v>
      </c>
      <c r="E15" s="51"/>
      <c r="F15" s="51">
        <f>Tabela48[[#This Row],[Ilość]]*Tabela48[[#This Row],[C.j. netto]]</f>
        <v>0</v>
      </c>
      <c r="G15" s="37"/>
      <c r="H15" s="38"/>
      <c r="I15" s="37"/>
      <c r="J15" s="37"/>
      <c r="K15" s="37"/>
      <c r="L15" s="37"/>
    </row>
    <row r="16" spans="1:13">
      <c r="A16" s="202" t="s">
        <v>36</v>
      </c>
      <c r="B16" s="53" t="s">
        <v>826</v>
      </c>
      <c r="C16" s="50" t="s">
        <v>29</v>
      </c>
      <c r="D16" s="105">
        <v>500</v>
      </c>
      <c r="E16" s="51"/>
      <c r="F16" s="51">
        <f>Tabela48[[#This Row],[Ilość]]*Tabela48[[#This Row],[C.j. netto]]</f>
        <v>0</v>
      </c>
      <c r="G16" s="37"/>
      <c r="H16" s="38"/>
      <c r="I16" s="37"/>
      <c r="J16" s="37"/>
      <c r="K16" s="37"/>
      <c r="L16" s="37"/>
    </row>
    <row r="17" spans="1:12">
      <c r="A17" s="202" t="s">
        <v>38</v>
      </c>
      <c r="B17" s="53" t="s">
        <v>827</v>
      </c>
      <c r="C17" s="50" t="s">
        <v>29</v>
      </c>
      <c r="D17" s="105">
        <v>280</v>
      </c>
      <c r="E17" s="51"/>
      <c r="F17" s="51">
        <f>Tabela48[[#This Row],[Ilość]]*Tabela48[[#This Row],[C.j. netto]]</f>
        <v>0</v>
      </c>
      <c r="G17" s="37"/>
      <c r="H17" s="38"/>
      <c r="I17" s="37"/>
      <c r="J17" s="37"/>
      <c r="K17" s="37"/>
      <c r="L17" s="37"/>
    </row>
    <row r="18" spans="1:12">
      <c r="A18" s="202" t="s">
        <v>40</v>
      </c>
      <c r="B18" s="53" t="s">
        <v>828</v>
      </c>
      <c r="C18" s="50" t="s">
        <v>29</v>
      </c>
      <c r="D18" s="105">
        <v>50</v>
      </c>
      <c r="E18" s="51"/>
      <c r="F18" s="51">
        <f>Tabela48[[#This Row],[Ilość]]*Tabela48[[#This Row],[C.j. netto]]</f>
        <v>0</v>
      </c>
      <c r="G18" s="37"/>
      <c r="H18" s="38"/>
      <c r="I18" s="37"/>
      <c r="J18" s="37"/>
      <c r="K18" s="37"/>
      <c r="L18" s="37"/>
    </row>
    <row r="19" spans="1:12">
      <c r="A19" s="202" t="s">
        <v>42</v>
      </c>
      <c r="B19" s="53" t="s">
        <v>829</v>
      </c>
      <c r="C19" s="50" t="s">
        <v>29</v>
      </c>
      <c r="D19" s="105">
        <v>2200</v>
      </c>
      <c r="E19" s="51"/>
      <c r="F19" s="51">
        <f>Tabela48[[#This Row],[Ilość]]*Tabela48[[#This Row],[C.j. netto]]</f>
        <v>0</v>
      </c>
      <c r="G19" s="37"/>
      <c r="H19" s="38"/>
      <c r="I19" s="37"/>
      <c r="J19" s="37"/>
      <c r="K19" s="37"/>
      <c r="L19" s="37"/>
    </row>
    <row r="20" spans="1:12">
      <c r="A20" s="202" t="s">
        <v>45</v>
      </c>
      <c r="B20" s="53" t="s">
        <v>830</v>
      </c>
      <c r="C20" s="50" t="s">
        <v>29</v>
      </c>
      <c r="D20" s="105">
        <v>1800</v>
      </c>
      <c r="E20" s="51"/>
      <c r="F20" s="51">
        <f>Tabela48[[#This Row],[Ilość]]*Tabela48[[#This Row],[C.j. netto]]</f>
        <v>0</v>
      </c>
      <c r="G20" s="37"/>
      <c r="H20" s="38"/>
      <c r="I20" s="37"/>
      <c r="J20" s="37"/>
      <c r="K20" s="37"/>
      <c r="L20" s="37"/>
    </row>
    <row r="21" spans="1:12">
      <c r="A21" s="218"/>
      <c r="B21" s="53"/>
      <c r="C21" s="50"/>
      <c r="D21" s="105"/>
      <c r="E21" s="51"/>
      <c r="F21" s="51"/>
      <c r="G21" s="37"/>
      <c r="H21" s="38"/>
      <c r="I21" s="37"/>
      <c r="J21" s="37"/>
      <c r="K21" s="37"/>
      <c r="L21" s="37"/>
    </row>
    <row r="22" spans="1:12" ht="25.5">
      <c r="A22" s="202" t="s">
        <v>48</v>
      </c>
      <c r="B22" s="53" t="s">
        <v>831</v>
      </c>
      <c r="C22" s="50" t="s">
        <v>29</v>
      </c>
      <c r="D22" s="105">
        <v>40</v>
      </c>
      <c r="E22" s="51"/>
      <c r="F22" s="51">
        <f>Tabela48[[#This Row],[Ilość]]*Tabela48[[#This Row],[C.j. netto]]</f>
        <v>0</v>
      </c>
      <c r="G22" s="37"/>
      <c r="H22" s="38"/>
      <c r="I22" s="37"/>
      <c r="J22" s="37"/>
      <c r="K22" s="37"/>
      <c r="L22" s="37"/>
    </row>
    <row r="23" spans="1:12" ht="25.5">
      <c r="A23" s="202" t="s">
        <v>1320</v>
      </c>
      <c r="B23" s="53" t="s">
        <v>1319</v>
      </c>
      <c r="C23" s="50" t="s">
        <v>29</v>
      </c>
      <c r="D23" s="105">
        <v>500</v>
      </c>
      <c r="E23" s="51"/>
      <c r="F23" s="51">
        <f>Tabela48[[#This Row],[Ilość]]*Tabela48[[#This Row],[C.j. netto]]</f>
        <v>0</v>
      </c>
      <c r="G23" s="37"/>
      <c r="H23" s="38"/>
      <c r="I23" s="37"/>
      <c r="J23" s="37"/>
      <c r="K23" s="37"/>
      <c r="L23" s="37"/>
    </row>
    <row r="24" spans="1:12">
      <c r="A24" s="202" t="s">
        <v>50</v>
      </c>
      <c r="B24" s="53" t="s">
        <v>832</v>
      </c>
      <c r="C24" s="50" t="s">
        <v>29</v>
      </c>
      <c r="D24" s="105">
        <v>250</v>
      </c>
      <c r="E24" s="51"/>
      <c r="F24" s="51">
        <f>Tabela48[[#This Row],[Ilość]]*Tabela48[[#This Row],[C.j. netto]]</f>
        <v>0</v>
      </c>
      <c r="G24" s="37"/>
      <c r="H24" s="38"/>
      <c r="I24" s="37"/>
      <c r="J24" s="37"/>
      <c r="K24" s="37"/>
      <c r="L24" s="37"/>
    </row>
    <row r="25" spans="1:12">
      <c r="A25" s="202" t="s">
        <v>52</v>
      </c>
      <c r="B25" s="53" t="s">
        <v>833</v>
      </c>
      <c r="C25" s="50" t="s">
        <v>29</v>
      </c>
      <c r="D25" s="105">
        <v>110</v>
      </c>
      <c r="E25" s="51"/>
      <c r="F25" s="51">
        <f>Tabela48[[#This Row],[Ilość]]*Tabela48[[#This Row],[C.j. netto]]</f>
        <v>0</v>
      </c>
      <c r="G25" s="37"/>
      <c r="H25" s="38"/>
      <c r="I25" s="37"/>
      <c r="J25" s="37"/>
      <c r="K25" s="37"/>
      <c r="L25" s="37"/>
    </row>
    <row r="26" spans="1:12">
      <c r="A26" s="202" t="s">
        <v>54</v>
      </c>
      <c r="B26" s="53" t="s">
        <v>834</v>
      </c>
      <c r="C26" s="50" t="s">
        <v>16</v>
      </c>
      <c r="D26" s="105">
        <v>750</v>
      </c>
      <c r="E26" s="51"/>
      <c r="F26" s="51">
        <f>Tabela48[[#This Row],[Ilość]]*Tabela48[[#This Row],[C.j. netto]]</f>
        <v>0</v>
      </c>
      <c r="G26" s="37"/>
      <c r="H26" s="38"/>
      <c r="I26" s="37"/>
      <c r="J26" s="37"/>
      <c r="K26" s="37"/>
      <c r="L26" s="37"/>
    </row>
    <row r="27" spans="1:12">
      <c r="A27" s="202" t="s">
        <v>56</v>
      </c>
      <c r="B27" s="49" t="s">
        <v>835</v>
      </c>
      <c r="C27" s="50" t="s">
        <v>29</v>
      </c>
      <c r="D27" s="105">
        <v>90</v>
      </c>
      <c r="E27" s="51"/>
      <c r="F27" s="51">
        <f>Tabela48[[#This Row],[Ilość]]*Tabela48[[#This Row],[C.j. netto]]</f>
        <v>0</v>
      </c>
      <c r="G27" s="37"/>
      <c r="H27" s="38"/>
      <c r="I27" s="37"/>
      <c r="J27" s="37"/>
      <c r="K27" s="37"/>
      <c r="L27" s="37"/>
    </row>
    <row r="28" spans="1:12">
      <c r="A28" s="102" t="s">
        <v>118</v>
      </c>
      <c r="B28" s="58"/>
      <c r="C28" s="25"/>
      <c r="D28" s="25"/>
      <c r="E28" s="12"/>
      <c r="F28" s="61">
        <f>SUBTOTAL(109,Tabela48[Wartość netto])</f>
        <v>0</v>
      </c>
      <c r="G28" s="12"/>
      <c r="H28" s="25"/>
      <c r="I28" s="12"/>
      <c r="J28" s="12"/>
      <c r="K28" s="12"/>
      <c r="L28" s="12"/>
    </row>
    <row r="29" spans="1:12">
      <c r="A29" s="27"/>
      <c r="B29" s="60"/>
      <c r="E29"/>
      <c r="F29" s="28"/>
      <c r="H29" s="24"/>
    </row>
    <row r="30" spans="1:12" ht="30">
      <c r="A30" s="10" t="s">
        <v>115</v>
      </c>
      <c r="B30" s="5"/>
    </row>
    <row r="31" spans="1:12" ht="15">
      <c r="A31" s="11" t="s">
        <v>116</v>
      </c>
      <c r="B31" s="5"/>
      <c r="L31" s="17"/>
    </row>
    <row r="32" spans="1:12" ht="15">
      <c r="A32" s="11" t="s">
        <v>117</v>
      </c>
      <c r="B32" s="5"/>
      <c r="L32" s="32" t="s">
        <v>119</v>
      </c>
    </row>
    <row r="51" ht="30" customHeight="1"/>
    <row r="52" ht="30" customHeight="1"/>
    <row r="53" ht="30" customHeight="1"/>
    <row r="54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22324-B60C-4070-AA0C-1D652DF58E8C}">
  <sheetPr>
    <pageSetUpPr fitToPage="1"/>
  </sheetPr>
  <dimension ref="A1:M61"/>
  <sheetViews>
    <sheetView zoomScale="130" zoomScaleNormal="130" workbookViewId="0">
      <selection activeCell="B41" sqref="B41"/>
    </sheetView>
    <sheetView workbookViewId="1"/>
    <sheetView topLeftCell="A4" workbookViewId="2">
      <selection activeCell="E9" sqref="E9:E38"/>
    </sheetView>
  </sheetViews>
  <sheetFormatPr defaultRowHeight="14.25"/>
  <cols>
    <col min="1" max="1" width="14.125" customWidth="1"/>
    <col min="2" max="2" width="56.87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816</v>
      </c>
      <c r="B1" s="219"/>
    </row>
    <row r="3" spans="1:13" ht="39.950000000000003" customHeight="1">
      <c r="A3" s="8" t="s">
        <v>112</v>
      </c>
      <c r="B3" s="265"/>
      <c r="C3" s="265"/>
      <c r="D3" s="265"/>
      <c r="E3" s="265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202" t="s">
        <v>1260</v>
      </c>
      <c r="B9" s="57" t="s">
        <v>842</v>
      </c>
      <c r="C9" s="35" t="s">
        <v>29</v>
      </c>
      <c r="D9" s="64">
        <v>10</v>
      </c>
      <c r="E9" s="36"/>
      <c r="F9" s="36">
        <f>Tabela49[[#This Row],[Ilość]]*Tabela49[[#This Row],[C.j. netto]]</f>
        <v>0</v>
      </c>
      <c r="G9" s="37"/>
      <c r="H9" s="38"/>
      <c r="I9" s="37"/>
      <c r="J9" s="37"/>
      <c r="K9" s="37"/>
      <c r="L9" s="37"/>
    </row>
    <row r="10" spans="1:13">
      <c r="A10" s="202" t="s">
        <v>5</v>
      </c>
      <c r="B10" s="57" t="s">
        <v>843</v>
      </c>
      <c r="C10" s="35" t="s">
        <v>29</v>
      </c>
      <c r="D10" s="64">
        <v>10</v>
      </c>
      <c r="E10" s="36"/>
      <c r="F10" s="36">
        <f>Tabela49[[#This Row],[Ilość]]*Tabela49[[#This Row],[C.j. netto]]</f>
        <v>0</v>
      </c>
      <c r="G10" s="37"/>
      <c r="H10" s="38"/>
      <c r="I10" s="37"/>
      <c r="J10" s="37"/>
      <c r="K10" s="37"/>
      <c r="L10" s="37"/>
    </row>
    <row r="11" spans="1:13">
      <c r="A11" s="202" t="s">
        <v>6</v>
      </c>
      <c r="B11" s="57" t="s">
        <v>844</v>
      </c>
      <c r="C11" s="35" t="s">
        <v>29</v>
      </c>
      <c r="D11" s="64">
        <v>90</v>
      </c>
      <c r="E11" s="36"/>
      <c r="F11" s="36">
        <f>Tabela49[[#This Row],[Ilość]]*Tabela49[[#This Row],[C.j. netto]]</f>
        <v>0</v>
      </c>
      <c r="G11" s="37"/>
      <c r="H11" s="38"/>
      <c r="I11" s="37"/>
      <c r="J11" s="37"/>
      <c r="K11" s="37"/>
      <c r="L11" s="37"/>
    </row>
    <row r="12" spans="1:13">
      <c r="A12" s="202" t="s">
        <v>26</v>
      </c>
      <c r="B12" s="57" t="s">
        <v>845</v>
      </c>
      <c r="C12" s="35" t="s">
        <v>29</v>
      </c>
      <c r="D12" s="64">
        <v>90</v>
      </c>
      <c r="E12" s="36"/>
      <c r="F12" s="36">
        <f>Tabela49[[#This Row],[Ilość]]*Tabela49[[#This Row],[C.j. netto]]</f>
        <v>0</v>
      </c>
      <c r="G12" s="37"/>
      <c r="H12" s="38"/>
      <c r="I12" s="37"/>
      <c r="J12" s="37"/>
      <c r="K12" s="37"/>
      <c r="L12" s="37"/>
    </row>
    <row r="13" spans="1:13">
      <c r="A13" s="202" t="s">
        <v>27</v>
      </c>
      <c r="B13" s="57" t="s">
        <v>846</v>
      </c>
      <c r="C13" s="35" t="s">
        <v>29</v>
      </c>
      <c r="D13" s="64">
        <v>15</v>
      </c>
      <c r="E13" s="36"/>
      <c r="F13" s="36">
        <f>Tabela49[[#This Row],[Ilość]]*Tabela49[[#This Row],[C.j. netto]]</f>
        <v>0</v>
      </c>
      <c r="G13" s="37"/>
      <c r="H13" s="38"/>
      <c r="I13" s="37"/>
      <c r="J13" s="37"/>
      <c r="K13" s="37"/>
      <c r="L13" s="37"/>
    </row>
    <row r="14" spans="1:13">
      <c r="A14" s="202" t="s">
        <v>32</v>
      </c>
      <c r="B14" s="57" t="s">
        <v>847</v>
      </c>
      <c r="C14" s="35" t="s">
        <v>29</v>
      </c>
      <c r="D14" s="64">
        <v>20</v>
      </c>
      <c r="E14" s="36"/>
      <c r="F14" s="36">
        <f>Tabela49[[#This Row],[Ilość]]*Tabela49[[#This Row],[C.j. netto]]</f>
        <v>0</v>
      </c>
      <c r="G14" s="37"/>
      <c r="H14" s="38"/>
      <c r="I14" s="37"/>
      <c r="J14" s="37"/>
      <c r="K14" s="37"/>
      <c r="L14" s="37"/>
    </row>
    <row r="15" spans="1:13">
      <c r="A15" s="202" t="s">
        <v>1310</v>
      </c>
      <c r="B15" s="57" t="s">
        <v>848</v>
      </c>
      <c r="C15" s="35" t="s">
        <v>29</v>
      </c>
      <c r="D15" s="64">
        <v>20</v>
      </c>
      <c r="E15" s="36"/>
      <c r="F15" s="36">
        <f>Tabela49[[#This Row],[Ilość]]*Tabela49[[#This Row],[C.j. netto]]</f>
        <v>0</v>
      </c>
      <c r="G15" s="37"/>
      <c r="H15" s="38"/>
      <c r="I15" s="37"/>
      <c r="J15" s="37"/>
      <c r="K15" s="37"/>
      <c r="L15" s="37"/>
    </row>
    <row r="16" spans="1:13">
      <c r="A16" s="202" t="s">
        <v>1321</v>
      </c>
      <c r="B16" s="57" t="s">
        <v>849</v>
      </c>
      <c r="C16" s="35" t="s">
        <v>29</v>
      </c>
      <c r="D16" s="64">
        <v>20</v>
      </c>
      <c r="E16" s="36"/>
      <c r="F16" s="36">
        <f>Tabela49[[#This Row],[Ilość]]*Tabela49[[#This Row],[C.j. netto]]</f>
        <v>0</v>
      </c>
      <c r="G16" s="37"/>
      <c r="H16" s="38"/>
      <c r="I16" s="37"/>
      <c r="J16" s="37"/>
      <c r="K16" s="37"/>
      <c r="L16" s="37"/>
    </row>
    <row r="17" spans="1:12">
      <c r="A17" s="202" t="s">
        <v>38</v>
      </c>
      <c r="B17" s="57" t="s">
        <v>850</v>
      </c>
      <c r="C17" s="35" t="s">
        <v>29</v>
      </c>
      <c r="D17" s="64">
        <v>100</v>
      </c>
      <c r="E17" s="36"/>
      <c r="F17" s="36">
        <f>Tabela49[[#This Row],[Ilość]]*Tabela49[[#This Row],[C.j. netto]]</f>
        <v>0</v>
      </c>
      <c r="G17" s="37"/>
      <c r="H17" s="38"/>
      <c r="I17" s="37"/>
      <c r="J17" s="37"/>
      <c r="K17" s="37"/>
      <c r="L17" s="37"/>
    </row>
    <row r="18" spans="1:12">
      <c r="A18" s="202" t="s">
        <v>40</v>
      </c>
      <c r="B18" s="57" t="s">
        <v>851</v>
      </c>
      <c r="C18" s="35" t="s">
        <v>29</v>
      </c>
      <c r="D18" s="64">
        <v>40</v>
      </c>
      <c r="E18" s="36"/>
      <c r="F18" s="36">
        <f>Tabela49[[#This Row],[Ilość]]*Tabela49[[#This Row],[C.j. netto]]</f>
        <v>0</v>
      </c>
      <c r="G18" s="37"/>
      <c r="H18" s="38"/>
      <c r="I18" s="37"/>
      <c r="J18" s="37"/>
      <c r="K18" s="37"/>
      <c r="L18" s="37"/>
    </row>
    <row r="19" spans="1:12">
      <c r="A19" s="202" t="s">
        <v>42</v>
      </c>
      <c r="B19" s="57" t="s">
        <v>852</v>
      </c>
      <c r="C19" s="35" t="s">
        <v>29</v>
      </c>
      <c r="D19" s="64">
        <v>15</v>
      </c>
      <c r="E19" s="36"/>
      <c r="F19" s="36">
        <f>Tabela49[[#This Row],[Ilość]]*Tabela49[[#This Row],[C.j. netto]]</f>
        <v>0</v>
      </c>
      <c r="G19" s="37"/>
      <c r="H19" s="38"/>
      <c r="I19" s="37"/>
      <c r="J19" s="37"/>
      <c r="K19" s="37"/>
      <c r="L19" s="37"/>
    </row>
    <row r="20" spans="1:12">
      <c r="A20" s="202" t="s">
        <v>45</v>
      </c>
      <c r="B20" s="57" t="s">
        <v>853</v>
      </c>
      <c r="C20" s="35" t="s">
        <v>29</v>
      </c>
      <c r="D20" s="64">
        <v>5</v>
      </c>
      <c r="E20" s="36"/>
      <c r="F20" s="36">
        <f>Tabela49[[#This Row],[Ilość]]*Tabela49[[#This Row],[C.j. netto]]</f>
        <v>0</v>
      </c>
      <c r="G20" s="37"/>
      <c r="H20" s="38"/>
      <c r="I20" s="37"/>
      <c r="J20" s="37"/>
      <c r="K20" s="37"/>
      <c r="L20" s="37"/>
    </row>
    <row r="21" spans="1:12">
      <c r="A21" s="202" t="s">
        <v>47</v>
      </c>
      <c r="B21" s="57" t="s">
        <v>854</v>
      </c>
      <c r="C21" s="35" t="s">
        <v>29</v>
      </c>
      <c r="D21" s="65">
        <v>35</v>
      </c>
      <c r="E21" s="36"/>
      <c r="F21" s="36">
        <f>Tabela49[[#This Row],[Ilość]]*Tabela49[[#This Row],[C.j. netto]]</f>
        <v>0</v>
      </c>
      <c r="G21" s="37"/>
      <c r="H21" s="38"/>
      <c r="I21" s="37"/>
      <c r="J21" s="37"/>
      <c r="K21" s="37"/>
      <c r="L21" s="37"/>
    </row>
    <row r="22" spans="1:12">
      <c r="A22" s="202" t="s">
        <v>48</v>
      </c>
      <c r="B22" s="57" t="s">
        <v>855</v>
      </c>
      <c r="C22" s="35" t="s">
        <v>29</v>
      </c>
      <c r="D22" s="64">
        <v>5</v>
      </c>
      <c r="E22" s="36"/>
      <c r="F22" s="36">
        <f>Tabela49[[#This Row],[Ilość]]*Tabela49[[#This Row],[C.j. netto]]</f>
        <v>0</v>
      </c>
      <c r="G22" s="37"/>
      <c r="H22" s="38"/>
      <c r="I22" s="37"/>
      <c r="J22" s="37"/>
      <c r="K22" s="37"/>
      <c r="L22" s="37"/>
    </row>
    <row r="23" spans="1:12">
      <c r="A23" s="202" t="s">
        <v>49</v>
      </c>
      <c r="B23" s="57" t="s">
        <v>856</v>
      </c>
      <c r="C23" s="35" t="s">
        <v>29</v>
      </c>
      <c r="D23" s="64">
        <v>300</v>
      </c>
      <c r="E23" s="36"/>
      <c r="F23" s="36">
        <f>Tabela49[[#This Row],[Ilość]]*Tabela49[[#This Row],[C.j. netto]]</f>
        <v>0</v>
      </c>
      <c r="G23" s="37"/>
      <c r="H23" s="38"/>
      <c r="I23" s="37"/>
      <c r="J23" s="37"/>
      <c r="K23" s="37"/>
      <c r="L23" s="37"/>
    </row>
    <row r="24" spans="1:12">
      <c r="A24" s="202" t="s">
        <v>50</v>
      </c>
      <c r="B24" s="57" t="s">
        <v>1322</v>
      </c>
      <c r="C24" s="35" t="s">
        <v>29</v>
      </c>
      <c r="D24" s="64">
        <v>40</v>
      </c>
      <c r="E24" s="36"/>
      <c r="F24" s="36">
        <f>Tabela49[[#This Row],[Ilość]]*Tabela49[[#This Row],[C.j. netto]]</f>
        <v>0</v>
      </c>
      <c r="G24" s="37"/>
      <c r="H24" s="38"/>
      <c r="I24" s="37"/>
      <c r="J24" s="37"/>
      <c r="K24" s="37"/>
      <c r="L24" s="37"/>
    </row>
    <row r="25" spans="1:12">
      <c r="A25" s="202" t="s">
        <v>52</v>
      </c>
      <c r="B25" s="57" t="s">
        <v>1323</v>
      </c>
      <c r="C25" s="35" t="s">
        <v>29</v>
      </c>
      <c r="D25" s="64">
        <v>80</v>
      </c>
      <c r="E25" s="36"/>
      <c r="F25" s="36">
        <f>Tabela49[[#This Row],[Ilość]]*Tabela49[[#This Row],[C.j. netto]]</f>
        <v>0</v>
      </c>
      <c r="G25" s="37"/>
      <c r="H25" s="38"/>
      <c r="I25" s="37"/>
      <c r="J25" s="37"/>
      <c r="K25" s="37"/>
      <c r="L25" s="37"/>
    </row>
    <row r="26" spans="1:12">
      <c r="A26" s="202" t="s">
        <v>54</v>
      </c>
      <c r="B26" s="57" t="s">
        <v>1324</v>
      </c>
      <c r="C26" s="35" t="s">
        <v>29</v>
      </c>
      <c r="D26" s="65">
        <v>10</v>
      </c>
      <c r="E26" s="36"/>
      <c r="F26" s="36">
        <f>Tabela49[[#This Row],[Ilość]]*Tabela49[[#This Row],[C.j. netto]]</f>
        <v>0</v>
      </c>
      <c r="G26" s="37"/>
      <c r="H26" s="38"/>
      <c r="I26" s="37"/>
      <c r="J26" s="37"/>
      <c r="K26" s="37"/>
      <c r="L26" s="37"/>
    </row>
    <row r="27" spans="1:12">
      <c r="A27" s="202" t="s">
        <v>56</v>
      </c>
      <c r="B27" s="57" t="s">
        <v>857</v>
      </c>
      <c r="C27" s="35" t="s">
        <v>29</v>
      </c>
      <c r="D27" s="64">
        <v>5</v>
      </c>
      <c r="E27" s="36"/>
      <c r="F27" s="36">
        <f>Tabela49[[#This Row],[Ilość]]*Tabela49[[#This Row],[C.j. netto]]</f>
        <v>0</v>
      </c>
      <c r="G27" s="37"/>
      <c r="H27" s="38"/>
      <c r="I27" s="37"/>
      <c r="J27" s="37"/>
      <c r="K27" s="37"/>
      <c r="L27" s="37"/>
    </row>
    <row r="28" spans="1:12">
      <c r="A28" s="202" t="s">
        <v>57</v>
      </c>
      <c r="B28" s="57" t="s">
        <v>858</v>
      </c>
      <c r="C28" s="35" t="s">
        <v>29</v>
      </c>
      <c r="D28" s="64">
        <v>150</v>
      </c>
      <c r="E28" s="36"/>
      <c r="F28" s="36">
        <f>Tabela49[[#This Row],[Ilość]]*Tabela49[[#This Row],[C.j. netto]]</f>
        <v>0</v>
      </c>
      <c r="G28" s="37"/>
      <c r="H28" s="38"/>
      <c r="I28" s="37"/>
      <c r="J28" s="37"/>
      <c r="K28" s="37"/>
      <c r="L28" s="37"/>
    </row>
    <row r="29" spans="1:12">
      <c r="A29" s="202" t="s">
        <v>59</v>
      </c>
      <c r="B29" s="57" t="s">
        <v>859</v>
      </c>
      <c r="C29" s="35" t="s">
        <v>29</v>
      </c>
      <c r="D29" s="64">
        <v>20</v>
      </c>
      <c r="E29" s="36"/>
      <c r="F29" s="36">
        <f>Tabela49[[#This Row],[Ilość]]*Tabela49[[#This Row],[C.j. netto]]</f>
        <v>0</v>
      </c>
      <c r="G29" s="37"/>
      <c r="H29" s="38"/>
      <c r="I29" s="37"/>
      <c r="J29" s="37"/>
      <c r="K29" s="37"/>
      <c r="L29" s="37"/>
    </row>
    <row r="30" spans="1:12">
      <c r="A30" s="202" t="s">
        <v>61</v>
      </c>
      <c r="B30" s="57" t="s">
        <v>860</v>
      </c>
      <c r="C30" s="35" t="s">
        <v>29</v>
      </c>
      <c r="D30" s="64">
        <v>110</v>
      </c>
      <c r="E30" s="36"/>
      <c r="F30" s="36">
        <f>Tabela49[[#This Row],[Ilość]]*Tabela49[[#This Row],[C.j. netto]]</f>
        <v>0</v>
      </c>
      <c r="G30" s="37"/>
      <c r="H30" s="38"/>
      <c r="I30" s="37"/>
      <c r="J30" s="37"/>
      <c r="K30" s="37"/>
      <c r="L30" s="37"/>
    </row>
    <row r="31" spans="1:12">
      <c r="A31" s="202" t="s">
        <v>63</v>
      </c>
      <c r="B31" s="57" t="s">
        <v>861</v>
      </c>
      <c r="C31" s="35" t="s">
        <v>29</v>
      </c>
      <c r="D31" s="64">
        <v>20</v>
      </c>
      <c r="E31" s="36"/>
      <c r="F31" s="36">
        <f>Tabela49[[#This Row],[Ilość]]*Tabela49[[#This Row],[C.j. netto]]</f>
        <v>0</v>
      </c>
      <c r="G31" s="37"/>
      <c r="H31" s="38"/>
      <c r="I31" s="37"/>
      <c r="J31" s="37"/>
      <c r="K31" s="37"/>
      <c r="L31" s="37"/>
    </row>
    <row r="32" spans="1:12">
      <c r="A32" s="202" t="s">
        <v>65</v>
      </c>
      <c r="B32" s="57" t="s">
        <v>1210</v>
      </c>
      <c r="C32" s="35" t="s">
        <v>29</v>
      </c>
      <c r="D32" s="35">
        <v>10</v>
      </c>
      <c r="E32" s="100"/>
      <c r="F32" s="36">
        <f>Tabela49[[#This Row],[Ilość]]*Tabela49[[#This Row],[C.j. netto]]</f>
        <v>0</v>
      </c>
      <c r="G32" s="37"/>
      <c r="H32" s="38"/>
      <c r="I32" s="37"/>
      <c r="J32" s="37"/>
      <c r="K32" s="37"/>
      <c r="L32" s="37"/>
    </row>
    <row r="33" spans="1:12">
      <c r="A33" s="202" t="s">
        <v>67</v>
      </c>
      <c r="B33" s="57" t="s">
        <v>1211</v>
      </c>
      <c r="C33" s="35" t="s">
        <v>29</v>
      </c>
      <c r="D33" s="35">
        <v>10</v>
      </c>
      <c r="E33" s="100"/>
      <c r="F33" s="36">
        <f>Tabela49[[#This Row],[Ilość]]*Tabela49[[#This Row],[C.j. netto]]</f>
        <v>0</v>
      </c>
      <c r="G33" s="37"/>
      <c r="H33" s="38"/>
      <c r="I33" s="37"/>
      <c r="J33" s="37"/>
      <c r="K33" s="37"/>
      <c r="L33" s="37"/>
    </row>
    <row r="34" spans="1:12">
      <c r="A34" s="202" t="s">
        <v>69</v>
      </c>
      <c r="B34" s="57" t="s">
        <v>1212</v>
      </c>
      <c r="C34" s="35" t="s">
        <v>29</v>
      </c>
      <c r="D34" s="35">
        <v>5</v>
      </c>
      <c r="E34" s="100"/>
      <c r="F34" s="36">
        <f>Tabela49[[#This Row],[Ilość]]*Tabela49[[#This Row],[C.j. netto]]</f>
        <v>0</v>
      </c>
      <c r="G34" s="37"/>
      <c r="H34" s="38"/>
      <c r="I34" s="37"/>
      <c r="J34" s="37"/>
      <c r="K34" s="37"/>
      <c r="L34" s="37"/>
    </row>
    <row r="35" spans="1:12">
      <c r="A35" s="202" t="s">
        <v>71</v>
      </c>
      <c r="B35" s="57" t="s">
        <v>1213</v>
      </c>
      <c r="C35" s="35" t="s">
        <v>29</v>
      </c>
      <c r="D35" s="35">
        <v>5</v>
      </c>
      <c r="E35" s="100"/>
      <c r="F35" s="36">
        <f>Tabela49[[#This Row],[Ilość]]*Tabela49[[#This Row],[C.j. netto]]</f>
        <v>0</v>
      </c>
      <c r="G35" s="37"/>
      <c r="H35" s="38"/>
      <c r="I35" s="37"/>
      <c r="J35" s="37"/>
      <c r="K35" s="37"/>
      <c r="L35" s="37"/>
    </row>
    <row r="36" spans="1:12">
      <c r="A36" s="202" t="s">
        <v>73</v>
      </c>
      <c r="B36" s="57" t="s">
        <v>1208</v>
      </c>
      <c r="C36" s="111" t="s">
        <v>327</v>
      </c>
      <c r="D36" s="35">
        <v>20</v>
      </c>
      <c r="E36" s="100"/>
      <c r="F36" s="36">
        <f>Tabela49[[#This Row],[Ilość]]*Tabela49[[#This Row],[C.j. netto]]</f>
        <v>0</v>
      </c>
      <c r="G36" s="37"/>
      <c r="H36" s="38"/>
      <c r="I36" s="37"/>
      <c r="J36" s="37"/>
      <c r="K36" s="37"/>
      <c r="L36" s="37"/>
    </row>
    <row r="37" spans="1:12">
      <c r="A37" s="202" t="s">
        <v>75</v>
      </c>
      <c r="B37" s="57" t="s">
        <v>1207</v>
      </c>
      <c r="C37" s="111" t="s">
        <v>327</v>
      </c>
      <c r="D37" s="35">
        <v>20</v>
      </c>
      <c r="E37" s="100"/>
      <c r="F37" s="36">
        <f>Tabela49[[#This Row],[Ilość]]*Tabela49[[#This Row],[C.j. netto]]</f>
        <v>0</v>
      </c>
      <c r="G37" s="37"/>
      <c r="H37" s="38"/>
      <c r="I37" s="37"/>
      <c r="J37" s="37"/>
      <c r="K37" s="37"/>
      <c r="L37" s="37"/>
    </row>
    <row r="38" spans="1:12">
      <c r="A38" s="202" t="s">
        <v>77</v>
      </c>
      <c r="B38" s="57" t="s">
        <v>1209</v>
      </c>
      <c r="C38" s="111" t="s">
        <v>327</v>
      </c>
      <c r="D38" s="35">
        <v>12</v>
      </c>
      <c r="E38" s="100"/>
      <c r="F38" s="36">
        <f>Tabela49[[#This Row],[Ilość]]*Tabela49[[#This Row],[C.j. netto]]</f>
        <v>0</v>
      </c>
      <c r="G38" s="37"/>
      <c r="H38" s="38"/>
      <c r="I38" s="37"/>
      <c r="J38" s="37"/>
      <c r="K38" s="37"/>
      <c r="L38" s="37"/>
    </row>
    <row r="39" spans="1:12">
      <c r="A39" s="102" t="s">
        <v>118</v>
      </c>
      <c r="B39" s="58"/>
      <c r="C39" s="25"/>
      <c r="D39" s="25"/>
      <c r="E39" s="12"/>
      <c r="F39" s="61">
        <f>SUBTOTAL(109,Tabela49[Wartość netto])</f>
        <v>0</v>
      </c>
      <c r="G39" s="12"/>
      <c r="H39" s="25"/>
      <c r="I39" s="12"/>
      <c r="J39" s="12"/>
      <c r="K39" s="12"/>
      <c r="L39" s="12"/>
    </row>
    <row r="40" spans="1:12">
      <c r="A40" s="27"/>
      <c r="B40" s="60"/>
      <c r="E40"/>
      <c r="F40" s="28"/>
      <c r="H40" s="24"/>
    </row>
    <row r="41" spans="1:12">
      <c r="A41" s="27"/>
      <c r="B41" s="60"/>
      <c r="E41"/>
      <c r="F41" s="28"/>
      <c r="H41" s="24"/>
    </row>
    <row r="42" spans="1:12" ht="30">
      <c r="A42" s="10" t="s">
        <v>115</v>
      </c>
      <c r="B42" s="5"/>
    </row>
    <row r="43" spans="1:12" ht="15">
      <c r="A43" s="11" t="s">
        <v>116</v>
      </c>
      <c r="B43" s="5"/>
      <c r="L43" s="17"/>
    </row>
    <row r="44" spans="1:12" ht="15">
      <c r="A44" s="11" t="s">
        <v>117</v>
      </c>
      <c r="B44" s="5"/>
      <c r="L44" s="32" t="s">
        <v>119</v>
      </c>
    </row>
    <row r="58" ht="30" customHeight="1"/>
    <row r="59" ht="30" customHeight="1"/>
    <row r="60" ht="30" customHeight="1"/>
    <row r="61" ht="30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49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19142-633A-4D05-9823-0613EDA19E79}">
  <sheetPr>
    <pageSetUpPr fitToPage="1"/>
  </sheetPr>
  <dimension ref="A1:M33"/>
  <sheetViews>
    <sheetView workbookViewId="0"/>
    <sheetView workbookViewId="1"/>
    <sheetView workbookViewId="2">
      <selection activeCell="E9" sqref="E9:E14"/>
    </sheetView>
  </sheetViews>
  <sheetFormatPr defaultRowHeight="14.25"/>
  <cols>
    <col min="1" max="1" width="14.125" customWidth="1"/>
    <col min="2" max="2" width="52.625" style="6" customWidth="1"/>
    <col min="3" max="4" width="9.125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20</v>
      </c>
      <c r="B1" s="20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48" t="s">
        <v>4</v>
      </c>
      <c r="B9" s="49" t="s">
        <v>1154</v>
      </c>
      <c r="C9" s="50" t="s">
        <v>16</v>
      </c>
      <c r="D9" s="105">
        <v>60</v>
      </c>
      <c r="E9" s="114"/>
      <c r="F9" s="114">
        <f>Tabela5[[#This Row],[Ilość]]*Tabela5[[#This Row],[C.j. netto]]</f>
        <v>0</v>
      </c>
      <c r="G9" s="37"/>
      <c r="H9" s="38"/>
      <c r="I9" s="37"/>
      <c r="J9" s="37"/>
      <c r="K9" s="37"/>
      <c r="L9" s="39"/>
    </row>
    <row r="10" spans="1:13" ht="25.5">
      <c r="A10" s="48" t="s">
        <v>5</v>
      </c>
      <c r="B10" s="115" t="s">
        <v>1155</v>
      </c>
      <c r="C10" s="50" t="s">
        <v>16</v>
      </c>
      <c r="D10" s="105">
        <v>200</v>
      </c>
      <c r="E10" s="114"/>
      <c r="F10" s="114">
        <f>Tabela5[[#This Row],[Ilość]]*Tabela5[[#This Row],[C.j. netto]]</f>
        <v>0</v>
      </c>
      <c r="G10" s="37"/>
      <c r="H10" s="38"/>
      <c r="I10" s="37"/>
      <c r="J10" s="37"/>
      <c r="K10" s="37"/>
      <c r="L10" s="39"/>
    </row>
    <row r="11" spans="1:13" ht="25.5">
      <c r="A11" s="48" t="s">
        <v>6</v>
      </c>
      <c r="B11" s="115" t="s">
        <v>1156</v>
      </c>
      <c r="C11" s="50" t="s">
        <v>16</v>
      </c>
      <c r="D11" s="105">
        <v>300</v>
      </c>
      <c r="E11" s="114"/>
      <c r="F11" s="114">
        <f>Tabela5[[#This Row],[Ilość]]*Tabela5[[#This Row],[C.j. netto]]</f>
        <v>0</v>
      </c>
      <c r="G11" s="37"/>
      <c r="H11" s="38"/>
      <c r="I11" s="37"/>
      <c r="J11" s="37"/>
      <c r="K11" s="37"/>
      <c r="L11" s="39"/>
    </row>
    <row r="12" spans="1:13" ht="25.5">
      <c r="A12" s="48" t="s">
        <v>1318</v>
      </c>
      <c r="B12" s="115" t="s">
        <v>1157</v>
      </c>
      <c r="C12" s="50" t="s">
        <v>16</v>
      </c>
      <c r="D12" s="105">
        <v>150</v>
      </c>
      <c r="E12" s="114"/>
      <c r="F12" s="114">
        <f>Tabela5[[#This Row],[Ilość]]*Tabela5[[#This Row],[C.j. netto]]</f>
        <v>0</v>
      </c>
      <c r="G12" s="37"/>
      <c r="H12" s="38"/>
      <c r="I12" s="37"/>
      <c r="J12" s="37"/>
      <c r="K12" s="37"/>
      <c r="L12" s="39"/>
    </row>
    <row r="13" spans="1:13" ht="25.5">
      <c r="A13" s="48" t="s">
        <v>27</v>
      </c>
      <c r="B13" s="115" t="s">
        <v>1158</v>
      </c>
      <c r="C13" s="50" t="s">
        <v>16</v>
      </c>
      <c r="D13" s="105">
        <v>10</v>
      </c>
      <c r="E13" s="114"/>
      <c r="F13" s="114">
        <f>Tabela5[[#This Row],[Ilość]]*Tabela5[[#This Row],[C.j. netto]]</f>
        <v>0</v>
      </c>
      <c r="G13" s="37"/>
      <c r="H13" s="38"/>
      <c r="I13" s="37"/>
      <c r="J13" s="37"/>
      <c r="K13" s="37"/>
      <c r="L13" s="39"/>
    </row>
    <row r="14" spans="1:13">
      <c r="A14" s="48" t="s">
        <v>32</v>
      </c>
      <c r="B14" s="115" t="s">
        <v>1159</v>
      </c>
      <c r="C14" s="50" t="s">
        <v>16</v>
      </c>
      <c r="D14" s="105">
        <v>10</v>
      </c>
      <c r="E14" s="114"/>
      <c r="F14" s="114">
        <f>Tabela5[[#This Row],[Ilość]]*Tabela5[[#This Row],[C.j. netto]]</f>
        <v>0</v>
      </c>
      <c r="G14" s="37"/>
      <c r="H14" s="38"/>
      <c r="I14" s="37"/>
      <c r="J14" s="37"/>
      <c r="K14" s="37"/>
      <c r="L14" s="39"/>
    </row>
    <row r="15" spans="1:13">
      <c r="A15" s="13" t="s">
        <v>118</v>
      </c>
      <c r="B15" s="14"/>
      <c r="C15" s="26"/>
      <c r="D15" s="26"/>
      <c r="E15" s="15"/>
      <c r="F15" s="31">
        <f>SUBTOTAL(109,Tabela5[Wartość netto])</f>
        <v>0</v>
      </c>
      <c r="G15" s="15"/>
      <c r="H15" s="26"/>
      <c r="I15" s="15"/>
      <c r="J15" s="15"/>
      <c r="K15" s="15"/>
      <c r="L15" s="16"/>
    </row>
    <row r="16" spans="1:13">
      <c r="A16" s="27"/>
      <c r="E16"/>
      <c r="F16" s="28"/>
      <c r="H16" s="24"/>
    </row>
    <row r="17" spans="1:12">
      <c r="A17" s="27"/>
      <c r="E17"/>
      <c r="F17" s="28"/>
      <c r="H17" s="24"/>
    </row>
    <row r="18" spans="1:12" ht="30">
      <c r="A18" s="10" t="s">
        <v>115</v>
      </c>
      <c r="B18" s="5"/>
    </row>
    <row r="19" spans="1:12" ht="15">
      <c r="A19" s="11" t="s">
        <v>116</v>
      </c>
      <c r="B19" s="5"/>
      <c r="L19" s="17"/>
    </row>
    <row r="20" spans="1:12" ht="15">
      <c r="A20" s="11" t="s">
        <v>117</v>
      </c>
      <c r="B20" s="5"/>
      <c r="L20" s="32" t="s">
        <v>119</v>
      </c>
    </row>
    <row r="30" spans="1:12" ht="18" customHeight="1"/>
    <row r="31" spans="1:12" ht="15.75" customHeight="1"/>
    <row r="32" spans="1:12" ht="17.25" customHeight="1"/>
    <row r="33" ht="19.5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0" fitToHeight="0" orientation="landscape" r:id="rId1"/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054F-E3FA-4E02-BD0A-2EDE550987D2}">
  <sheetPr>
    <pageSetUpPr fitToPage="1"/>
  </sheetPr>
  <dimension ref="A1:M53"/>
  <sheetViews>
    <sheetView workbookViewId="0">
      <selection activeCell="F16" sqref="F16"/>
    </sheetView>
    <sheetView workbookViewId="1"/>
    <sheetView workbookViewId="2">
      <selection activeCell="E9" sqref="E9:E20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817</v>
      </c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202" t="s">
        <v>4</v>
      </c>
      <c r="B9" s="57" t="s">
        <v>1325</v>
      </c>
      <c r="C9" s="35" t="s">
        <v>29</v>
      </c>
      <c r="D9" s="64">
        <v>400</v>
      </c>
      <c r="E9" s="36"/>
      <c r="F9" s="36">
        <f>Tabela50[[#This Row],[Ilość]]*Tabela50[[#This Row],[C.j. netto]]</f>
        <v>0</v>
      </c>
      <c r="G9" s="37"/>
      <c r="H9" s="38"/>
      <c r="I9" s="37"/>
      <c r="J9" s="37"/>
      <c r="K9" s="37"/>
      <c r="L9" s="37"/>
    </row>
    <row r="10" spans="1:13" ht="25.5">
      <c r="A10" s="202" t="s">
        <v>5</v>
      </c>
      <c r="B10" s="57" t="s">
        <v>863</v>
      </c>
      <c r="C10" s="35" t="s">
        <v>29</v>
      </c>
      <c r="D10" s="64">
        <v>70</v>
      </c>
      <c r="E10" s="36"/>
      <c r="F10" s="36">
        <f>Tabela50[[#This Row],[Ilość]]*Tabela50[[#This Row],[C.j. netto]]</f>
        <v>0</v>
      </c>
      <c r="G10" s="37"/>
      <c r="H10" s="38"/>
      <c r="I10" s="37"/>
      <c r="J10" s="37"/>
      <c r="K10" s="37"/>
      <c r="L10" s="37"/>
    </row>
    <row r="11" spans="1:13" ht="25.5">
      <c r="A11" s="202" t="s">
        <v>6</v>
      </c>
      <c r="B11" s="57" t="s">
        <v>864</v>
      </c>
      <c r="C11" s="35" t="s">
        <v>29</v>
      </c>
      <c r="D11" s="64">
        <v>12</v>
      </c>
      <c r="E11" s="36"/>
      <c r="F11" s="36">
        <f>Tabela50[[#This Row],[Ilość]]*Tabela50[[#This Row],[C.j. netto]]</f>
        <v>0</v>
      </c>
      <c r="G11" s="37"/>
      <c r="H11" s="38"/>
      <c r="I11" s="37"/>
      <c r="J11" s="37"/>
      <c r="K11" s="37"/>
      <c r="L11" s="37"/>
    </row>
    <row r="12" spans="1:13">
      <c r="A12" s="202" t="s">
        <v>26</v>
      </c>
      <c r="B12" s="57" t="s">
        <v>865</v>
      </c>
      <c r="C12" s="35" t="s">
        <v>29</v>
      </c>
      <c r="D12" s="64">
        <v>30</v>
      </c>
      <c r="E12" s="36"/>
      <c r="F12" s="36">
        <f>Tabela50[[#This Row],[Ilość]]*Tabela50[[#This Row],[C.j. netto]]</f>
        <v>0</v>
      </c>
      <c r="G12" s="37"/>
      <c r="H12" s="38"/>
      <c r="I12" s="37"/>
      <c r="J12" s="37"/>
      <c r="K12" s="37"/>
      <c r="L12" s="37"/>
    </row>
    <row r="13" spans="1:13">
      <c r="A13" s="202" t="s">
        <v>27</v>
      </c>
      <c r="B13" s="57" t="s">
        <v>866</v>
      </c>
      <c r="C13" s="35" t="s">
        <v>29</v>
      </c>
      <c r="D13" s="64">
        <v>30</v>
      </c>
      <c r="E13" s="36"/>
      <c r="F13" s="36">
        <f>Tabela50[[#This Row],[Ilość]]*Tabela50[[#This Row],[C.j. netto]]</f>
        <v>0</v>
      </c>
      <c r="G13" s="37"/>
      <c r="H13" s="38"/>
      <c r="I13" s="37"/>
      <c r="J13" s="37"/>
      <c r="K13" s="37"/>
      <c r="L13" s="37"/>
    </row>
    <row r="14" spans="1:13">
      <c r="A14" s="202" t="s">
        <v>32</v>
      </c>
      <c r="B14" s="57" t="s">
        <v>867</v>
      </c>
      <c r="C14" s="35" t="s">
        <v>29</v>
      </c>
      <c r="D14" s="64">
        <v>400</v>
      </c>
      <c r="E14" s="36"/>
      <c r="F14" s="36">
        <f>Tabela50[[#This Row],[Ilość]]*Tabela50[[#This Row],[C.j. netto]]</f>
        <v>0</v>
      </c>
      <c r="G14" s="37"/>
      <c r="H14" s="38"/>
      <c r="I14" s="37"/>
      <c r="J14" s="37"/>
      <c r="K14" s="37"/>
      <c r="L14" s="37"/>
    </row>
    <row r="15" spans="1:13" ht="25.5">
      <c r="A15" s="202" t="s">
        <v>34</v>
      </c>
      <c r="B15" s="57" t="s">
        <v>868</v>
      </c>
      <c r="C15" s="35" t="s">
        <v>29</v>
      </c>
      <c r="D15" s="64">
        <v>650</v>
      </c>
      <c r="E15" s="36"/>
      <c r="F15" s="36">
        <f>Tabela50[[#This Row],[Ilość]]*Tabela50[[#This Row],[C.j. netto]]</f>
        <v>0</v>
      </c>
      <c r="G15" s="37"/>
      <c r="H15" s="38"/>
      <c r="I15" s="37"/>
      <c r="J15" s="37"/>
      <c r="K15" s="37"/>
      <c r="L15" s="37"/>
    </row>
    <row r="16" spans="1:13">
      <c r="A16" s="202" t="s">
        <v>36</v>
      </c>
      <c r="B16" s="57" t="s">
        <v>869</v>
      </c>
      <c r="C16" s="35" t="s">
        <v>29</v>
      </c>
      <c r="D16" s="64">
        <v>6</v>
      </c>
      <c r="E16" s="36"/>
      <c r="F16" s="36">
        <f>Tabela50[[#This Row],[Ilość]]*Tabela50[[#This Row],[C.j. netto]]</f>
        <v>0</v>
      </c>
      <c r="G16" s="37"/>
      <c r="H16" s="38"/>
      <c r="I16" s="37"/>
      <c r="J16" s="37"/>
      <c r="K16" s="37"/>
      <c r="L16" s="37"/>
    </row>
    <row r="17" spans="1:12">
      <c r="A17" s="202" t="s">
        <v>38</v>
      </c>
      <c r="B17" s="57" t="s">
        <v>870</v>
      </c>
      <c r="C17" s="35" t="s">
        <v>29</v>
      </c>
      <c r="D17" s="64">
        <v>10</v>
      </c>
      <c r="E17" s="36"/>
      <c r="F17" s="36">
        <f>Tabela50[[#This Row],[Ilość]]*Tabela50[[#This Row],[C.j. netto]]</f>
        <v>0</v>
      </c>
      <c r="G17" s="37"/>
      <c r="H17" s="38"/>
      <c r="I17" s="37"/>
      <c r="J17" s="37"/>
      <c r="K17" s="37"/>
      <c r="L17" s="37"/>
    </row>
    <row r="18" spans="1:12" ht="25.5">
      <c r="A18" s="202" t="s">
        <v>40</v>
      </c>
      <c r="B18" s="57" t="s">
        <v>871</v>
      </c>
      <c r="C18" s="35" t="s">
        <v>29</v>
      </c>
      <c r="D18" s="64">
        <v>100</v>
      </c>
      <c r="E18" s="36"/>
      <c r="F18" s="36">
        <f>Tabela50[[#This Row],[Ilość]]*Tabela50[[#This Row],[C.j. netto]]</f>
        <v>0</v>
      </c>
      <c r="G18" s="37"/>
      <c r="H18" s="38"/>
      <c r="I18" s="37"/>
      <c r="J18" s="37"/>
      <c r="K18" s="37"/>
      <c r="L18" s="37"/>
    </row>
    <row r="19" spans="1:12" ht="25.5">
      <c r="A19" s="202" t="s">
        <v>42</v>
      </c>
      <c r="B19" s="57" t="s">
        <v>872</v>
      </c>
      <c r="C19" s="35" t="s">
        <v>29</v>
      </c>
      <c r="D19" s="64">
        <v>150</v>
      </c>
      <c r="E19" s="36"/>
      <c r="F19" s="36">
        <f>Tabela50[[#This Row],[Ilość]]*Tabela50[[#This Row],[C.j. netto]]</f>
        <v>0</v>
      </c>
      <c r="G19" s="37"/>
      <c r="H19" s="38"/>
      <c r="I19" s="37"/>
      <c r="J19" s="37"/>
      <c r="K19" s="37"/>
      <c r="L19" s="37"/>
    </row>
    <row r="20" spans="1:12">
      <c r="A20" s="202" t="s">
        <v>45</v>
      </c>
      <c r="B20" s="57" t="s">
        <v>873</v>
      </c>
      <c r="C20" s="35" t="s">
        <v>29</v>
      </c>
      <c r="D20" s="64">
        <v>5</v>
      </c>
      <c r="E20" s="36"/>
      <c r="F20" s="36">
        <f>Tabela50[[#This Row],[Ilość]]*Tabela50[[#This Row],[C.j. netto]]</f>
        <v>0</v>
      </c>
      <c r="G20" s="37"/>
      <c r="H20" s="38"/>
      <c r="I20" s="37"/>
      <c r="J20" s="37"/>
      <c r="K20" s="37"/>
      <c r="L20" s="37"/>
    </row>
    <row r="21" spans="1:12">
      <c r="A21" s="9" t="s">
        <v>118</v>
      </c>
      <c r="B21" s="7"/>
      <c r="C21" s="25"/>
      <c r="D21" s="25"/>
      <c r="E21" s="12"/>
      <c r="F21" s="61">
        <f>SUBTOTAL(109,Tabela50[Wartość netto])</f>
        <v>0</v>
      </c>
      <c r="G21" s="12"/>
      <c r="H21" s="25"/>
      <c r="I21" s="12"/>
      <c r="J21" s="12"/>
      <c r="K21" s="12"/>
      <c r="L21" s="12"/>
    </row>
    <row r="22" spans="1:12">
      <c r="A22" s="27"/>
      <c r="B22" s="60"/>
      <c r="E22"/>
      <c r="F22" s="28"/>
      <c r="H22" s="24"/>
    </row>
    <row r="23" spans="1:12" ht="30">
      <c r="A23" s="10" t="s">
        <v>115</v>
      </c>
      <c r="B23" s="5"/>
    </row>
    <row r="24" spans="1:12" ht="15">
      <c r="A24" s="11" t="s">
        <v>116</v>
      </c>
      <c r="B24" s="5"/>
      <c r="L24" s="17"/>
    </row>
    <row r="25" spans="1:12" ht="15">
      <c r="A25" s="11" t="s">
        <v>117</v>
      </c>
      <c r="B25" s="5"/>
      <c r="L25" s="32" t="s">
        <v>119</v>
      </c>
    </row>
    <row r="50" ht="30" customHeight="1"/>
    <row r="51" ht="30" customHeight="1"/>
    <row r="52" ht="30" customHeight="1"/>
    <row r="53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FEFA7-26FF-4C53-AEDC-9A1392C0549E}">
  <sheetPr>
    <pageSetUpPr fitToPage="1"/>
  </sheetPr>
  <dimension ref="A1:M54"/>
  <sheetViews>
    <sheetView workbookViewId="0">
      <selection activeCell="F27" sqref="F27"/>
    </sheetView>
    <sheetView workbookViewId="1"/>
    <sheetView topLeftCell="A6" workbookViewId="2">
      <selection activeCell="E9" sqref="E9:E40"/>
    </sheetView>
  </sheetViews>
  <sheetFormatPr defaultRowHeight="14.25"/>
  <cols>
    <col min="1" max="1" width="14.125" customWidth="1"/>
    <col min="2" max="2" width="56.87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818</v>
      </c>
      <c r="B1" s="21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215" t="s">
        <v>4</v>
      </c>
      <c r="B9" s="74" t="s">
        <v>875</v>
      </c>
      <c r="C9" s="64" t="s">
        <v>29</v>
      </c>
      <c r="D9" s="64">
        <v>2500</v>
      </c>
      <c r="E9" s="131"/>
      <c r="F9" s="131">
        <f>Tabela51[[#This Row],[Ilość]]*Tabela51[[#This Row],[C.j. netto]]</f>
        <v>0</v>
      </c>
      <c r="G9" s="37"/>
      <c r="H9" s="132"/>
      <c r="I9" s="37"/>
      <c r="J9" s="37"/>
      <c r="K9" s="37"/>
      <c r="L9" s="39"/>
    </row>
    <row r="10" spans="1:13">
      <c r="A10" s="215" t="s">
        <v>5</v>
      </c>
      <c r="B10" s="74" t="s">
        <v>876</v>
      </c>
      <c r="C10" s="64" t="s">
        <v>29</v>
      </c>
      <c r="D10" s="64">
        <v>250</v>
      </c>
      <c r="E10" s="131"/>
      <c r="F10" s="131">
        <f>Tabela51[[#This Row],[Ilość]]*Tabela51[[#This Row],[C.j. netto]]</f>
        <v>0</v>
      </c>
      <c r="G10" s="37"/>
      <c r="H10" s="132"/>
      <c r="I10" s="37"/>
      <c r="J10" s="37"/>
      <c r="K10" s="37"/>
      <c r="L10" s="39"/>
    </row>
    <row r="11" spans="1:13">
      <c r="A11" s="215" t="s">
        <v>6</v>
      </c>
      <c r="B11" s="74" t="s">
        <v>877</v>
      </c>
      <c r="C11" s="64" t="s">
        <v>29</v>
      </c>
      <c r="D11" s="64">
        <v>20</v>
      </c>
      <c r="E11" s="131"/>
      <c r="F11" s="131">
        <f>Tabela51[[#This Row],[Ilość]]*Tabela51[[#This Row],[C.j. netto]]</f>
        <v>0</v>
      </c>
      <c r="G11" s="37"/>
      <c r="H11" s="132"/>
      <c r="I11" s="37"/>
      <c r="J11" s="37"/>
      <c r="K11" s="37"/>
      <c r="L11" s="39"/>
    </row>
    <row r="12" spans="1:13">
      <c r="A12" s="215" t="s">
        <v>26</v>
      </c>
      <c r="B12" s="74" t="s">
        <v>878</v>
      </c>
      <c r="C12" s="64" t="s">
        <v>29</v>
      </c>
      <c r="D12" s="64">
        <v>500</v>
      </c>
      <c r="E12" s="131"/>
      <c r="F12" s="131">
        <f>Tabela51[[#This Row],[Ilość]]*Tabela51[[#This Row],[C.j. netto]]</f>
        <v>0</v>
      </c>
      <c r="G12" s="37"/>
      <c r="H12" s="132"/>
      <c r="I12" s="37"/>
      <c r="J12" s="37"/>
      <c r="K12" s="37"/>
      <c r="L12" s="39"/>
    </row>
    <row r="13" spans="1:13">
      <c r="A13" s="215" t="s">
        <v>27</v>
      </c>
      <c r="B13" s="74" t="s">
        <v>879</v>
      </c>
      <c r="C13" s="64" t="s">
        <v>29</v>
      </c>
      <c r="D13" s="64">
        <v>600</v>
      </c>
      <c r="E13" s="131"/>
      <c r="F13" s="131">
        <f>Tabela51[[#This Row],[Ilość]]*Tabela51[[#This Row],[C.j. netto]]</f>
        <v>0</v>
      </c>
      <c r="G13" s="37"/>
      <c r="H13" s="132"/>
      <c r="I13" s="37"/>
      <c r="J13" s="37"/>
      <c r="K13" s="37"/>
      <c r="L13" s="39"/>
    </row>
    <row r="14" spans="1:13">
      <c r="A14" s="215" t="s">
        <v>32</v>
      </c>
      <c r="B14" s="74" t="s">
        <v>880</v>
      </c>
      <c r="C14" s="64" t="s">
        <v>29</v>
      </c>
      <c r="D14" s="64">
        <v>25</v>
      </c>
      <c r="E14" s="131"/>
      <c r="F14" s="131">
        <f>Tabela51[[#This Row],[Ilość]]*Tabela51[[#This Row],[C.j. netto]]</f>
        <v>0</v>
      </c>
      <c r="G14" s="37"/>
      <c r="H14" s="132"/>
      <c r="I14" s="37"/>
      <c r="J14" s="37"/>
      <c r="K14" s="37"/>
      <c r="L14" s="39"/>
    </row>
    <row r="15" spans="1:13">
      <c r="A15" s="215" t="s">
        <v>34</v>
      </c>
      <c r="B15" s="74" t="s">
        <v>881</v>
      </c>
      <c r="C15" s="64" t="s">
        <v>29</v>
      </c>
      <c r="D15" s="64">
        <v>110</v>
      </c>
      <c r="E15" s="131"/>
      <c r="F15" s="131">
        <f>Tabela51[[#This Row],[Ilość]]*Tabela51[[#This Row],[C.j. netto]]</f>
        <v>0</v>
      </c>
      <c r="G15" s="37"/>
      <c r="H15" s="132"/>
      <c r="I15" s="37"/>
      <c r="J15" s="37"/>
      <c r="K15" s="37"/>
      <c r="L15" s="39"/>
    </row>
    <row r="16" spans="1:13">
      <c r="A16" s="215" t="s">
        <v>36</v>
      </c>
      <c r="B16" s="74" t="s">
        <v>882</v>
      </c>
      <c r="C16" s="64" t="s">
        <v>306</v>
      </c>
      <c r="D16" s="64">
        <v>20</v>
      </c>
      <c r="E16" s="131"/>
      <c r="F16" s="131">
        <f>Tabela51[[#This Row],[Ilość]]*Tabela51[[#This Row],[C.j. netto]]</f>
        <v>0</v>
      </c>
      <c r="G16" s="37"/>
      <c r="H16" s="132"/>
      <c r="I16" s="37"/>
      <c r="J16" s="37"/>
      <c r="K16" s="37"/>
      <c r="L16" s="39"/>
    </row>
    <row r="17" spans="1:12">
      <c r="A17" s="215" t="s">
        <v>38</v>
      </c>
      <c r="B17" s="74" t="s">
        <v>883</v>
      </c>
      <c r="C17" s="64" t="s">
        <v>29</v>
      </c>
      <c r="D17" s="64">
        <v>4</v>
      </c>
      <c r="E17" s="131"/>
      <c r="F17" s="131">
        <f>Tabela51[[#This Row],[Ilość]]*Tabela51[[#This Row],[C.j. netto]]</f>
        <v>0</v>
      </c>
      <c r="G17" s="37"/>
      <c r="H17" s="132"/>
      <c r="I17" s="37"/>
      <c r="J17" s="37"/>
      <c r="K17" s="37"/>
      <c r="L17" s="39"/>
    </row>
    <row r="18" spans="1:12">
      <c r="A18" s="215" t="s">
        <v>40</v>
      </c>
      <c r="B18" s="74" t="s">
        <v>906</v>
      </c>
      <c r="C18" s="64" t="s">
        <v>29</v>
      </c>
      <c r="D18" s="64">
        <v>6</v>
      </c>
      <c r="E18" s="131"/>
      <c r="F18" s="131">
        <f>Tabela51[[#This Row],[Ilość]]*Tabela51[[#This Row],[C.j. netto]]</f>
        <v>0</v>
      </c>
      <c r="G18" s="37"/>
      <c r="H18" s="132"/>
      <c r="I18" s="37"/>
      <c r="J18" s="37"/>
      <c r="K18" s="37"/>
      <c r="L18" s="39"/>
    </row>
    <row r="19" spans="1:12">
      <c r="A19" s="215" t="s">
        <v>42</v>
      </c>
      <c r="B19" s="74" t="s">
        <v>884</v>
      </c>
      <c r="C19" s="64" t="s">
        <v>29</v>
      </c>
      <c r="D19" s="64">
        <v>12</v>
      </c>
      <c r="E19" s="131"/>
      <c r="F19" s="131">
        <f>Tabela51[[#This Row],[Ilość]]*Tabela51[[#This Row],[C.j. netto]]</f>
        <v>0</v>
      </c>
      <c r="G19" s="37"/>
      <c r="H19" s="132"/>
      <c r="I19" s="37"/>
      <c r="J19" s="37"/>
      <c r="K19" s="37"/>
      <c r="L19" s="39"/>
    </row>
    <row r="20" spans="1:12">
      <c r="A20" s="215" t="s">
        <v>45</v>
      </c>
      <c r="B20" s="74" t="s">
        <v>885</v>
      </c>
      <c r="C20" s="64" t="s">
        <v>29</v>
      </c>
      <c r="D20" s="65">
        <v>5</v>
      </c>
      <c r="E20" s="131"/>
      <c r="F20" s="131">
        <f>Tabela51[[#This Row],[Ilość]]*Tabela51[[#This Row],[C.j. netto]]</f>
        <v>0</v>
      </c>
      <c r="G20" s="37"/>
      <c r="H20" s="132"/>
      <c r="I20" s="37"/>
      <c r="J20" s="37"/>
      <c r="K20" s="37"/>
      <c r="L20" s="39"/>
    </row>
    <row r="21" spans="1:12">
      <c r="A21" s="215" t="s">
        <v>47</v>
      </c>
      <c r="B21" s="74" t="s">
        <v>886</v>
      </c>
      <c r="C21" s="64" t="s">
        <v>29</v>
      </c>
      <c r="D21" s="64">
        <v>35</v>
      </c>
      <c r="E21" s="131"/>
      <c r="F21" s="131">
        <f>Tabela51[[#This Row],[Ilość]]*Tabela51[[#This Row],[C.j. netto]]</f>
        <v>0</v>
      </c>
      <c r="G21" s="37"/>
      <c r="H21" s="132"/>
      <c r="I21" s="37"/>
      <c r="J21" s="37"/>
      <c r="K21" s="37"/>
      <c r="L21" s="39"/>
    </row>
    <row r="22" spans="1:12">
      <c r="A22" s="215" t="s">
        <v>48</v>
      </c>
      <c r="B22" s="74" t="s">
        <v>887</v>
      </c>
      <c r="C22" s="64" t="s">
        <v>29</v>
      </c>
      <c r="D22" s="64">
        <v>150</v>
      </c>
      <c r="E22" s="131"/>
      <c r="F22" s="131">
        <f>Tabela51[[#This Row],[Ilość]]*Tabela51[[#This Row],[C.j. netto]]</f>
        <v>0</v>
      </c>
      <c r="G22" s="37"/>
      <c r="H22" s="132"/>
      <c r="I22" s="37"/>
      <c r="J22" s="37"/>
      <c r="K22" s="37"/>
      <c r="L22" s="39"/>
    </row>
    <row r="23" spans="1:12">
      <c r="A23" s="215" t="s">
        <v>49</v>
      </c>
      <c r="B23" s="74" t="s">
        <v>888</v>
      </c>
      <c r="C23" s="64" t="s">
        <v>29</v>
      </c>
      <c r="D23" s="64">
        <v>5</v>
      </c>
      <c r="E23" s="131"/>
      <c r="F23" s="131">
        <f>Tabela51[[#This Row],[Ilość]]*Tabela51[[#This Row],[C.j. netto]]</f>
        <v>0</v>
      </c>
      <c r="G23" s="37"/>
      <c r="H23" s="132"/>
      <c r="I23" s="37"/>
      <c r="J23" s="37"/>
      <c r="K23" s="37"/>
      <c r="L23" s="39"/>
    </row>
    <row r="24" spans="1:12">
      <c r="A24" s="215" t="s">
        <v>50</v>
      </c>
      <c r="B24" s="74" t="s">
        <v>889</v>
      </c>
      <c r="C24" s="64" t="s">
        <v>29</v>
      </c>
      <c r="D24" s="64">
        <v>6</v>
      </c>
      <c r="E24" s="131"/>
      <c r="F24" s="131">
        <f>Tabela51[[#This Row],[Ilość]]*Tabela51[[#This Row],[C.j. netto]]</f>
        <v>0</v>
      </c>
      <c r="G24" s="37"/>
      <c r="H24" s="132"/>
      <c r="I24" s="37"/>
      <c r="J24" s="37"/>
      <c r="K24" s="37"/>
      <c r="L24" s="39"/>
    </row>
    <row r="25" spans="1:12">
      <c r="A25" s="215" t="s">
        <v>52</v>
      </c>
      <c r="B25" s="74" t="s">
        <v>890</v>
      </c>
      <c r="C25" s="64" t="s">
        <v>29</v>
      </c>
      <c r="D25" s="64">
        <v>100</v>
      </c>
      <c r="E25" s="131"/>
      <c r="F25" s="131">
        <f>Tabela51[[#This Row],[Ilość]]*Tabela51[[#This Row],[C.j. netto]]</f>
        <v>0</v>
      </c>
      <c r="G25" s="37"/>
      <c r="H25" s="132"/>
      <c r="I25" s="37"/>
      <c r="J25" s="37"/>
      <c r="K25" s="37"/>
      <c r="L25" s="39"/>
    </row>
    <row r="26" spans="1:12">
      <c r="A26" s="215" t="s">
        <v>54</v>
      </c>
      <c r="B26" s="74" t="s">
        <v>891</v>
      </c>
      <c r="C26" s="64" t="s">
        <v>29</v>
      </c>
      <c r="D26" s="65">
        <v>250</v>
      </c>
      <c r="E26" s="131"/>
      <c r="F26" s="131">
        <f>Tabela51[[#This Row],[Ilość]]*Tabela51[[#This Row],[C.j. netto]]</f>
        <v>0</v>
      </c>
      <c r="G26" s="37"/>
      <c r="H26" s="132"/>
      <c r="I26" s="37"/>
      <c r="J26" s="37"/>
      <c r="K26" s="37"/>
      <c r="L26" s="39"/>
    </row>
    <row r="27" spans="1:12">
      <c r="A27" s="215" t="s">
        <v>56</v>
      </c>
      <c r="B27" s="74" t="s">
        <v>892</v>
      </c>
      <c r="C27" s="64" t="s">
        <v>29</v>
      </c>
      <c r="D27" s="64">
        <v>15</v>
      </c>
      <c r="E27" s="131"/>
      <c r="F27" s="131">
        <f>Tabela51[[#This Row],[Ilość]]*Tabela51[[#This Row],[C.j. netto]]</f>
        <v>0</v>
      </c>
      <c r="G27" s="37"/>
      <c r="H27" s="132"/>
      <c r="I27" s="37"/>
      <c r="J27" s="37"/>
      <c r="K27" s="37"/>
      <c r="L27" s="39"/>
    </row>
    <row r="28" spans="1:12">
      <c r="A28" s="215" t="s">
        <v>57</v>
      </c>
      <c r="B28" s="74" t="s">
        <v>893</v>
      </c>
      <c r="C28" s="64" t="s">
        <v>29</v>
      </c>
      <c r="D28" s="64">
        <v>15</v>
      </c>
      <c r="E28" s="131"/>
      <c r="F28" s="131">
        <f>Tabela51[[#This Row],[Ilość]]*Tabela51[[#This Row],[C.j. netto]]</f>
        <v>0</v>
      </c>
      <c r="G28" s="37"/>
      <c r="H28" s="132"/>
      <c r="I28" s="37"/>
      <c r="J28" s="37"/>
      <c r="K28" s="37"/>
      <c r="L28" s="39"/>
    </row>
    <row r="29" spans="1:12">
      <c r="A29" s="215" t="s">
        <v>59</v>
      </c>
      <c r="B29" s="74" t="s">
        <v>894</v>
      </c>
      <c r="C29" s="64" t="s">
        <v>29</v>
      </c>
      <c r="D29" s="64">
        <v>25</v>
      </c>
      <c r="E29" s="131"/>
      <c r="F29" s="131">
        <f>Tabela51[[#This Row],[Ilość]]*Tabela51[[#This Row],[C.j. netto]]</f>
        <v>0</v>
      </c>
      <c r="G29" s="37"/>
      <c r="H29" s="132"/>
      <c r="I29" s="37"/>
      <c r="J29" s="37"/>
      <c r="K29" s="37"/>
      <c r="L29" s="39"/>
    </row>
    <row r="30" spans="1:12">
      <c r="A30" s="215" t="s">
        <v>61</v>
      </c>
      <c r="B30" s="74" t="s">
        <v>895</v>
      </c>
      <c r="C30" s="64" t="s">
        <v>29</v>
      </c>
      <c r="D30" s="64">
        <v>30</v>
      </c>
      <c r="E30" s="131"/>
      <c r="F30" s="131">
        <f>Tabela51[[#This Row],[Ilość]]*Tabela51[[#This Row],[C.j. netto]]</f>
        <v>0</v>
      </c>
      <c r="G30" s="37"/>
      <c r="H30" s="132"/>
      <c r="I30" s="37"/>
      <c r="J30" s="37"/>
      <c r="K30" s="37"/>
      <c r="L30" s="39"/>
    </row>
    <row r="31" spans="1:12">
      <c r="A31" s="215" t="s">
        <v>63</v>
      </c>
      <c r="B31" s="74" t="s">
        <v>896</v>
      </c>
      <c r="C31" s="64" t="s">
        <v>29</v>
      </c>
      <c r="D31" s="64">
        <v>250</v>
      </c>
      <c r="E31" s="131"/>
      <c r="F31" s="131">
        <f>Tabela51[[#This Row],[Ilość]]*Tabela51[[#This Row],[C.j. netto]]</f>
        <v>0</v>
      </c>
      <c r="G31" s="37"/>
      <c r="H31" s="132"/>
      <c r="I31" s="37"/>
      <c r="J31" s="37"/>
      <c r="K31" s="37"/>
      <c r="L31" s="39"/>
    </row>
    <row r="32" spans="1:12">
      <c r="A32" s="215" t="s">
        <v>65</v>
      </c>
      <c r="B32" s="74" t="s">
        <v>897</v>
      </c>
      <c r="C32" s="64" t="s">
        <v>29</v>
      </c>
      <c r="D32" s="64">
        <v>30</v>
      </c>
      <c r="E32" s="131"/>
      <c r="F32" s="131">
        <f>Tabela51[[#This Row],[Ilość]]*Tabela51[[#This Row],[C.j. netto]]</f>
        <v>0</v>
      </c>
      <c r="G32" s="37"/>
      <c r="H32" s="132"/>
      <c r="I32" s="37"/>
      <c r="J32" s="37"/>
      <c r="K32" s="37"/>
      <c r="L32" s="39"/>
    </row>
    <row r="33" spans="1:12">
      <c r="A33" s="215" t="s">
        <v>67</v>
      </c>
      <c r="B33" s="74" t="s">
        <v>898</v>
      </c>
      <c r="C33" s="64" t="s">
        <v>29</v>
      </c>
      <c r="D33" s="64">
        <v>10</v>
      </c>
      <c r="E33" s="131"/>
      <c r="F33" s="131">
        <f>Tabela51[[#This Row],[Ilość]]*Tabela51[[#This Row],[C.j. netto]]</f>
        <v>0</v>
      </c>
      <c r="G33" s="37"/>
      <c r="H33" s="132"/>
      <c r="I33" s="37"/>
      <c r="J33" s="37"/>
      <c r="K33" s="37"/>
      <c r="L33" s="39"/>
    </row>
    <row r="34" spans="1:12">
      <c r="A34" s="215" t="s">
        <v>69</v>
      </c>
      <c r="B34" s="74" t="s">
        <v>899</v>
      </c>
      <c r="C34" s="64" t="s">
        <v>29</v>
      </c>
      <c r="D34" s="64">
        <v>5</v>
      </c>
      <c r="E34" s="131"/>
      <c r="F34" s="131">
        <f>Tabela51[[#This Row],[Ilość]]*Tabela51[[#This Row],[C.j. netto]]</f>
        <v>0</v>
      </c>
      <c r="G34" s="37"/>
      <c r="H34" s="132"/>
      <c r="I34" s="37"/>
      <c r="J34" s="37"/>
      <c r="K34" s="37"/>
      <c r="L34" s="39"/>
    </row>
    <row r="35" spans="1:12">
      <c r="A35" s="215" t="s">
        <v>71</v>
      </c>
      <c r="B35" s="74" t="s">
        <v>900</v>
      </c>
      <c r="C35" s="64" t="s">
        <v>29</v>
      </c>
      <c r="D35" s="64">
        <v>10</v>
      </c>
      <c r="E35" s="131"/>
      <c r="F35" s="131">
        <f>Tabela51[[#This Row],[Ilość]]*Tabela51[[#This Row],[C.j. netto]]</f>
        <v>0</v>
      </c>
      <c r="G35" s="37"/>
      <c r="H35" s="132"/>
      <c r="I35" s="37"/>
      <c r="J35" s="37"/>
      <c r="K35" s="37"/>
      <c r="L35" s="39"/>
    </row>
    <row r="36" spans="1:12">
      <c r="A36" s="215" t="s">
        <v>73</v>
      </c>
      <c r="B36" s="74" t="s">
        <v>901</v>
      </c>
      <c r="C36" s="64" t="s">
        <v>327</v>
      </c>
      <c r="D36" s="64">
        <v>360</v>
      </c>
      <c r="E36" s="131"/>
      <c r="F36" s="131">
        <f>Tabela51[[#This Row],[Ilość]]*Tabela51[[#This Row],[C.j. netto]]</f>
        <v>0</v>
      </c>
      <c r="G36" s="37"/>
      <c r="H36" s="132"/>
      <c r="I36" s="37"/>
      <c r="J36" s="37"/>
      <c r="K36" s="37"/>
      <c r="L36" s="39"/>
    </row>
    <row r="37" spans="1:12">
      <c r="A37" s="215" t="s">
        <v>75</v>
      </c>
      <c r="B37" s="77" t="s">
        <v>902</v>
      </c>
      <c r="C37" s="64" t="s">
        <v>327</v>
      </c>
      <c r="D37" s="64">
        <v>360</v>
      </c>
      <c r="E37" s="131"/>
      <c r="F37" s="131">
        <f>Tabela51[[#This Row],[Ilość]]*Tabela51[[#This Row],[C.j. netto]]</f>
        <v>0</v>
      </c>
      <c r="G37" s="37"/>
      <c r="H37" s="132"/>
      <c r="I37" s="37"/>
      <c r="J37" s="37"/>
      <c r="K37" s="37"/>
      <c r="L37" s="39"/>
    </row>
    <row r="38" spans="1:12">
      <c r="A38" s="215" t="s">
        <v>77</v>
      </c>
      <c r="B38" s="74" t="s">
        <v>903</v>
      </c>
      <c r="C38" s="64" t="s">
        <v>29</v>
      </c>
      <c r="D38" s="64">
        <v>730</v>
      </c>
      <c r="E38" s="79"/>
      <c r="F38" s="131">
        <f>Tabela51[[#This Row],[Ilość]]*Tabela51[[#This Row],[C.j. netto]]</f>
        <v>0</v>
      </c>
      <c r="G38" s="37"/>
      <c r="H38" s="132"/>
      <c r="I38" s="37"/>
      <c r="J38" s="37"/>
      <c r="K38" s="37"/>
      <c r="L38" s="39"/>
    </row>
    <row r="39" spans="1:12">
      <c r="A39" s="215" t="s">
        <v>79</v>
      </c>
      <c r="B39" s="74" t="s">
        <v>904</v>
      </c>
      <c r="C39" s="64" t="s">
        <v>29</v>
      </c>
      <c r="D39" s="64">
        <v>12</v>
      </c>
      <c r="E39" s="79"/>
      <c r="F39" s="131">
        <f>Tabela51[[#This Row],[Ilość]]*Tabela51[[#This Row],[C.j. netto]]</f>
        <v>0</v>
      </c>
      <c r="G39" s="37"/>
      <c r="H39" s="132"/>
      <c r="I39" s="37"/>
      <c r="J39" s="37"/>
      <c r="K39" s="37"/>
      <c r="L39" s="39"/>
    </row>
    <row r="40" spans="1:12" ht="51">
      <c r="A40" s="80" t="s">
        <v>81</v>
      </c>
      <c r="B40" s="77" t="s">
        <v>905</v>
      </c>
      <c r="C40" s="64" t="s">
        <v>29</v>
      </c>
      <c r="D40" s="64">
        <v>150</v>
      </c>
      <c r="E40" s="131"/>
      <c r="F40" s="131">
        <f>Tabela51[[#This Row],[Ilość]]*Tabela51[[#This Row],[C.j. netto]]</f>
        <v>0</v>
      </c>
      <c r="G40" s="37"/>
      <c r="H40" s="132"/>
      <c r="I40" s="37"/>
      <c r="J40" s="37"/>
      <c r="K40" s="37"/>
      <c r="L40" s="39"/>
    </row>
    <row r="41" spans="1:12">
      <c r="A41" s="13" t="s">
        <v>118</v>
      </c>
      <c r="B41" s="58"/>
      <c r="C41" s="26"/>
      <c r="D41" s="26"/>
      <c r="E41" s="15"/>
      <c r="F41" s="31">
        <f>SUBTOTAL(109,Tabela51[Wartość netto])</f>
        <v>0</v>
      </c>
      <c r="G41" s="15"/>
      <c r="H41" s="26"/>
      <c r="I41" s="15"/>
      <c r="J41" s="15"/>
      <c r="K41" s="15"/>
      <c r="L41" s="16"/>
    </row>
    <row r="42" spans="1:12">
      <c r="A42" s="27"/>
      <c r="B42" s="60"/>
      <c r="E42"/>
      <c r="F42" s="28"/>
      <c r="H42" s="24"/>
    </row>
    <row r="43" spans="1:12" ht="30">
      <c r="A43" s="10" t="s">
        <v>115</v>
      </c>
      <c r="B43" s="5"/>
    </row>
    <row r="44" spans="1:12" ht="15">
      <c r="A44" s="11" t="s">
        <v>116</v>
      </c>
      <c r="B44" s="5"/>
      <c r="L44" s="17"/>
    </row>
    <row r="45" spans="1:12" ht="15">
      <c r="A45" s="11" t="s">
        <v>117</v>
      </c>
      <c r="B45" s="5"/>
      <c r="L45" s="32" t="s">
        <v>119</v>
      </c>
    </row>
    <row r="51" ht="30" customHeight="1"/>
    <row r="52" ht="30" customHeight="1"/>
    <row r="53" ht="30" customHeight="1"/>
    <row r="54" ht="30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49" fitToHeight="0" orientation="landscape" r:id="rId1"/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CB320-C7F0-4FEB-9178-1C3B3286B9A8}">
  <sheetPr>
    <pageSetUpPr fitToPage="1"/>
  </sheetPr>
  <dimension ref="A1:M52"/>
  <sheetViews>
    <sheetView topLeftCell="A5" workbookViewId="0">
      <selection activeCell="C31" sqref="C31"/>
    </sheetView>
    <sheetView workbookViewId="1"/>
    <sheetView topLeftCell="A9" workbookViewId="2">
      <selection activeCell="E9" sqref="E9:E42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820</v>
      </c>
      <c r="B1" s="21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202" t="s">
        <v>4</v>
      </c>
      <c r="B9" s="57" t="s">
        <v>909</v>
      </c>
      <c r="C9" s="35" t="s">
        <v>29</v>
      </c>
      <c r="D9" s="64">
        <v>70</v>
      </c>
      <c r="E9" s="36"/>
      <c r="F9" s="36">
        <f>Tabela52[[#This Row],[Ilość]]*Tabela52[[#This Row],[C.j. netto]]</f>
        <v>0</v>
      </c>
      <c r="G9" s="37"/>
      <c r="H9" s="38"/>
      <c r="I9" s="37"/>
      <c r="J9" s="37"/>
      <c r="K9" s="37"/>
      <c r="L9" s="37"/>
    </row>
    <row r="10" spans="1:13">
      <c r="A10" s="202" t="s">
        <v>5</v>
      </c>
      <c r="B10" s="57" t="s">
        <v>910</v>
      </c>
      <c r="C10" s="35" t="s">
        <v>29</v>
      </c>
      <c r="D10" s="64">
        <v>420</v>
      </c>
      <c r="E10" s="36"/>
      <c r="F10" s="36">
        <f>Tabela52[[#This Row],[Ilość]]*Tabela52[[#This Row],[C.j. netto]]</f>
        <v>0</v>
      </c>
      <c r="G10" s="37"/>
      <c r="H10" s="38"/>
      <c r="I10" s="37"/>
      <c r="J10" s="37"/>
      <c r="K10" s="37"/>
      <c r="L10" s="37"/>
    </row>
    <row r="11" spans="1:13">
      <c r="A11" s="202" t="s">
        <v>6</v>
      </c>
      <c r="B11" s="57" t="s">
        <v>911</v>
      </c>
      <c r="C11" s="35" t="s">
        <v>29</v>
      </c>
      <c r="D11" s="64">
        <v>12</v>
      </c>
      <c r="E11" s="36"/>
      <c r="F11" s="36">
        <f>Tabela52[[#This Row],[Ilość]]*Tabela52[[#This Row],[C.j. netto]]</f>
        <v>0</v>
      </c>
      <c r="G11" s="37"/>
      <c r="H11" s="38"/>
      <c r="I11" s="37"/>
      <c r="J11" s="37"/>
      <c r="K11" s="37"/>
      <c r="L11" s="37"/>
    </row>
    <row r="12" spans="1:13">
      <c r="A12" s="202" t="s">
        <v>26</v>
      </c>
      <c r="B12" s="57" t="s">
        <v>912</v>
      </c>
      <c r="C12" s="35" t="s">
        <v>29</v>
      </c>
      <c r="D12" s="64">
        <v>45</v>
      </c>
      <c r="E12" s="36"/>
      <c r="F12" s="36">
        <f>Tabela52[[#This Row],[Ilość]]*Tabela52[[#This Row],[C.j. netto]]</f>
        <v>0</v>
      </c>
      <c r="G12" s="37"/>
      <c r="H12" s="38"/>
      <c r="I12" s="37"/>
      <c r="J12" s="37"/>
      <c r="K12" s="37"/>
      <c r="L12" s="37"/>
    </row>
    <row r="13" spans="1:13">
      <c r="A13" s="202" t="s">
        <v>27</v>
      </c>
      <c r="B13" s="57" t="s">
        <v>913</v>
      </c>
      <c r="C13" s="35" t="s">
        <v>29</v>
      </c>
      <c r="D13" s="64">
        <v>180</v>
      </c>
      <c r="E13" s="36"/>
      <c r="F13" s="36">
        <f>Tabela52[[#This Row],[Ilość]]*Tabela52[[#This Row],[C.j. netto]]</f>
        <v>0</v>
      </c>
      <c r="G13" s="37"/>
      <c r="H13" s="38"/>
      <c r="I13" s="37"/>
      <c r="J13" s="37"/>
      <c r="K13" s="37"/>
      <c r="L13" s="37"/>
    </row>
    <row r="14" spans="1:13">
      <c r="A14" s="202" t="s">
        <v>32</v>
      </c>
      <c r="B14" s="57" t="s">
        <v>914</v>
      </c>
      <c r="C14" s="35" t="s">
        <v>29</v>
      </c>
      <c r="D14" s="64">
        <v>15</v>
      </c>
      <c r="E14" s="36"/>
      <c r="F14" s="36">
        <f>Tabela52[[#This Row],[Ilość]]*Tabela52[[#This Row],[C.j. netto]]</f>
        <v>0</v>
      </c>
      <c r="G14" s="37"/>
      <c r="H14" s="38"/>
      <c r="I14" s="37"/>
      <c r="J14" s="37"/>
      <c r="K14" s="37"/>
      <c r="L14" s="37"/>
    </row>
    <row r="15" spans="1:13">
      <c r="A15" s="202" t="s">
        <v>34</v>
      </c>
      <c r="B15" s="57" t="s">
        <v>915</v>
      </c>
      <c r="C15" s="35" t="s">
        <v>29</v>
      </c>
      <c r="D15" s="64">
        <v>15</v>
      </c>
      <c r="E15" s="36"/>
      <c r="F15" s="36">
        <f>Tabela52[[#This Row],[Ilość]]*Tabela52[[#This Row],[C.j. netto]]</f>
        <v>0</v>
      </c>
      <c r="G15" s="37"/>
      <c r="H15" s="38"/>
      <c r="I15" s="37"/>
      <c r="J15" s="37"/>
      <c r="K15" s="37"/>
      <c r="L15" s="37"/>
    </row>
    <row r="16" spans="1:13">
      <c r="A16" s="202" t="s">
        <v>36</v>
      </c>
      <c r="B16" s="57" t="s">
        <v>916</v>
      </c>
      <c r="C16" s="35" t="s">
        <v>29</v>
      </c>
      <c r="D16" s="64">
        <v>12</v>
      </c>
      <c r="E16" s="36"/>
      <c r="F16" s="36">
        <f>Tabela52[[#This Row],[Ilość]]*Tabela52[[#This Row],[C.j. netto]]</f>
        <v>0</v>
      </c>
      <c r="G16" s="37"/>
      <c r="H16" s="38"/>
      <c r="I16" s="37"/>
      <c r="J16" s="37"/>
      <c r="K16" s="37"/>
      <c r="L16" s="37"/>
    </row>
    <row r="17" spans="1:12">
      <c r="A17" s="202" t="s">
        <v>38</v>
      </c>
      <c r="B17" s="57" t="s">
        <v>917</v>
      </c>
      <c r="C17" s="35" t="s">
        <v>29</v>
      </c>
      <c r="D17" s="64">
        <v>150</v>
      </c>
      <c r="E17" s="36"/>
      <c r="F17" s="36">
        <f>Tabela52[[#This Row],[Ilość]]*Tabela52[[#This Row],[C.j. netto]]</f>
        <v>0</v>
      </c>
      <c r="G17" s="37"/>
      <c r="H17" s="38"/>
      <c r="I17" s="37"/>
      <c r="J17" s="37"/>
      <c r="K17" s="37"/>
      <c r="L17" s="37"/>
    </row>
    <row r="18" spans="1:12">
      <c r="A18" s="202" t="s">
        <v>40</v>
      </c>
      <c r="B18" s="57" t="s">
        <v>1326</v>
      </c>
      <c r="C18" s="35" t="s">
        <v>29</v>
      </c>
      <c r="D18" s="64">
        <v>250</v>
      </c>
      <c r="E18" s="36"/>
      <c r="F18" s="36">
        <f>Tabela52[[#This Row],[Ilość]]*Tabela52[[#This Row],[C.j. netto]]</f>
        <v>0</v>
      </c>
      <c r="G18" s="37"/>
      <c r="H18" s="38"/>
      <c r="I18" s="37"/>
      <c r="J18" s="37"/>
      <c r="K18" s="37"/>
      <c r="L18" s="37"/>
    </row>
    <row r="19" spans="1:12">
      <c r="A19" s="202" t="s">
        <v>42</v>
      </c>
      <c r="B19" s="57" t="s">
        <v>918</v>
      </c>
      <c r="C19" s="35" t="s">
        <v>29</v>
      </c>
      <c r="D19" s="64">
        <v>70</v>
      </c>
      <c r="E19" s="36"/>
      <c r="F19" s="36">
        <f>Tabela52[[#This Row],[Ilość]]*Tabela52[[#This Row],[C.j. netto]]</f>
        <v>0</v>
      </c>
      <c r="G19" s="37"/>
      <c r="H19" s="38"/>
      <c r="I19" s="37"/>
      <c r="J19" s="37"/>
      <c r="K19" s="37"/>
      <c r="L19" s="37"/>
    </row>
    <row r="20" spans="1:12">
      <c r="A20" s="202" t="s">
        <v>45</v>
      </c>
      <c r="B20" s="57" t="s">
        <v>919</v>
      </c>
      <c r="C20" s="35" t="s">
        <v>29</v>
      </c>
      <c r="D20" s="64">
        <v>15</v>
      </c>
      <c r="E20" s="36"/>
      <c r="F20" s="36">
        <f>Tabela52[[#This Row],[Ilość]]*Tabela52[[#This Row],[C.j. netto]]</f>
        <v>0</v>
      </c>
      <c r="G20" s="37"/>
      <c r="H20" s="38"/>
      <c r="I20" s="37"/>
      <c r="J20" s="37"/>
      <c r="K20" s="37"/>
      <c r="L20" s="37"/>
    </row>
    <row r="21" spans="1:12">
      <c r="A21" s="202" t="s">
        <v>47</v>
      </c>
      <c r="B21" s="57" t="s">
        <v>920</v>
      </c>
      <c r="C21" s="35" t="s">
        <v>29</v>
      </c>
      <c r="D21" s="64">
        <v>90</v>
      </c>
      <c r="E21" s="36"/>
      <c r="F21" s="36">
        <f>Tabela52[[#This Row],[Ilość]]*Tabela52[[#This Row],[C.j. netto]]</f>
        <v>0</v>
      </c>
      <c r="G21" s="37"/>
      <c r="H21" s="38"/>
      <c r="I21" s="37"/>
      <c r="J21" s="37"/>
      <c r="K21" s="37"/>
      <c r="L21" s="37"/>
    </row>
    <row r="22" spans="1:12">
      <c r="A22" s="202" t="s">
        <v>48</v>
      </c>
      <c r="B22" s="57" t="s">
        <v>921</v>
      </c>
      <c r="C22" s="35" t="s">
        <v>29</v>
      </c>
      <c r="D22" s="64">
        <v>10</v>
      </c>
      <c r="E22" s="36"/>
      <c r="F22" s="36">
        <f>Tabela52[[#This Row],[Ilość]]*Tabela52[[#This Row],[C.j. netto]]</f>
        <v>0</v>
      </c>
      <c r="G22" s="37"/>
      <c r="H22" s="38"/>
      <c r="I22" s="37"/>
      <c r="J22" s="37"/>
      <c r="K22" s="37"/>
      <c r="L22" s="37"/>
    </row>
    <row r="23" spans="1:12" ht="25.5">
      <c r="A23" s="202" t="s">
        <v>49</v>
      </c>
      <c r="B23" s="57" t="s">
        <v>922</v>
      </c>
      <c r="C23" s="35" t="s">
        <v>29</v>
      </c>
      <c r="D23" s="64">
        <v>600</v>
      </c>
      <c r="E23" s="36"/>
      <c r="F23" s="36">
        <f>Tabela52[[#This Row],[Ilość]]*Tabela52[[#This Row],[C.j. netto]]</f>
        <v>0</v>
      </c>
      <c r="G23" s="37"/>
      <c r="H23" s="38"/>
      <c r="I23" s="37"/>
      <c r="J23" s="37"/>
      <c r="K23" s="37"/>
      <c r="L23" s="37"/>
    </row>
    <row r="24" spans="1:12">
      <c r="A24" s="202" t="s">
        <v>50</v>
      </c>
      <c r="B24" s="57" t="s">
        <v>923</v>
      </c>
      <c r="C24" s="35" t="s">
        <v>29</v>
      </c>
      <c r="D24" s="64">
        <v>16</v>
      </c>
      <c r="E24" s="36"/>
      <c r="F24" s="36">
        <f>Tabela52[[#This Row],[Ilość]]*Tabela52[[#This Row],[C.j. netto]]</f>
        <v>0</v>
      </c>
      <c r="G24" s="37"/>
      <c r="H24" s="38"/>
      <c r="I24" s="37"/>
      <c r="J24" s="37"/>
      <c r="K24" s="37"/>
      <c r="L24" s="37"/>
    </row>
    <row r="25" spans="1:12">
      <c r="A25" s="202" t="s">
        <v>52</v>
      </c>
      <c r="B25" s="57" t="s">
        <v>924</v>
      </c>
      <c r="C25" s="35" t="s">
        <v>29</v>
      </c>
      <c r="D25" s="64">
        <v>12</v>
      </c>
      <c r="E25" s="36"/>
      <c r="F25" s="36">
        <f>Tabela52[[#This Row],[Ilość]]*Tabela52[[#This Row],[C.j. netto]]</f>
        <v>0</v>
      </c>
      <c r="G25" s="37"/>
      <c r="H25" s="38"/>
      <c r="I25" s="37"/>
      <c r="J25" s="37"/>
      <c r="K25" s="37"/>
      <c r="L25" s="37"/>
    </row>
    <row r="26" spans="1:12">
      <c r="A26" s="202" t="s">
        <v>54</v>
      </c>
      <c r="B26" s="57" t="s">
        <v>925</v>
      </c>
      <c r="C26" s="35" t="s">
        <v>29</v>
      </c>
      <c r="D26" s="64">
        <v>20</v>
      </c>
      <c r="E26" s="36"/>
      <c r="F26" s="36">
        <f>Tabela52[[#This Row],[Ilość]]*Tabela52[[#This Row],[C.j. netto]]</f>
        <v>0</v>
      </c>
      <c r="G26" s="37"/>
      <c r="H26" s="38"/>
      <c r="I26" s="37"/>
      <c r="J26" s="37"/>
      <c r="K26" s="37"/>
      <c r="L26" s="37"/>
    </row>
    <row r="27" spans="1:12">
      <c r="A27" s="202" t="s">
        <v>56</v>
      </c>
      <c r="B27" s="57" t="s">
        <v>926</v>
      </c>
      <c r="C27" s="35" t="s">
        <v>29</v>
      </c>
      <c r="D27" s="64">
        <v>40</v>
      </c>
      <c r="E27" s="36"/>
      <c r="F27" s="36">
        <f>Tabela52[[#This Row],[Ilość]]*Tabela52[[#This Row],[C.j. netto]]</f>
        <v>0</v>
      </c>
      <c r="G27" s="37"/>
      <c r="H27" s="38"/>
      <c r="I27" s="37"/>
      <c r="J27" s="37"/>
      <c r="K27" s="37"/>
      <c r="L27" s="37"/>
    </row>
    <row r="28" spans="1:12">
      <c r="A28" s="202" t="s">
        <v>57</v>
      </c>
      <c r="B28" s="57" t="s">
        <v>927</v>
      </c>
      <c r="C28" s="35" t="s">
        <v>29</v>
      </c>
      <c r="D28" s="64">
        <v>750</v>
      </c>
      <c r="E28" s="36"/>
      <c r="F28" s="36">
        <f>Tabela52[[#This Row],[Ilość]]*Tabela52[[#This Row],[C.j. netto]]</f>
        <v>0</v>
      </c>
      <c r="G28" s="37"/>
      <c r="H28" s="38"/>
      <c r="I28" s="37"/>
      <c r="J28" s="37"/>
      <c r="K28" s="37"/>
      <c r="L28" s="37"/>
    </row>
    <row r="29" spans="1:12">
      <c r="A29" s="202" t="s">
        <v>59</v>
      </c>
      <c r="B29" s="57" t="s">
        <v>928</v>
      </c>
      <c r="C29" s="35" t="s">
        <v>29</v>
      </c>
      <c r="D29" s="64">
        <v>8</v>
      </c>
      <c r="E29" s="36"/>
      <c r="F29" s="36">
        <f>Tabela52[[#This Row],[Ilość]]*Tabela52[[#This Row],[C.j. netto]]</f>
        <v>0</v>
      </c>
      <c r="G29" s="37"/>
      <c r="H29" s="38"/>
      <c r="I29" s="37"/>
      <c r="J29" s="37"/>
      <c r="K29" s="37"/>
      <c r="L29" s="37"/>
    </row>
    <row r="30" spans="1:12">
      <c r="A30" s="202" t="s">
        <v>61</v>
      </c>
      <c r="B30" s="57" t="s">
        <v>929</v>
      </c>
      <c r="C30" s="35" t="s">
        <v>29</v>
      </c>
      <c r="D30" s="64">
        <v>10</v>
      </c>
      <c r="E30" s="36"/>
      <c r="F30" s="36">
        <f>Tabela52[[#This Row],[Ilość]]*Tabela52[[#This Row],[C.j. netto]]</f>
        <v>0</v>
      </c>
      <c r="G30" s="37"/>
      <c r="H30" s="38"/>
      <c r="I30" s="37"/>
      <c r="J30" s="37"/>
      <c r="K30" s="37"/>
      <c r="L30" s="37"/>
    </row>
    <row r="31" spans="1:12">
      <c r="A31" s="202" t="s">
        <v>63</v>
      </c>
      <c r="B31" s="57" t="s">
        <v>930</v>
      </c>
      <c r="C31" s="35" t="s">
        <v>29</v>
      </c>
      <c r="D31" s="64">
        <v>10</v>
      </c>
      <c r="E31" s="36"/>
      <c r="F31" s="36">
        <f>Tabela52[[#This Row],[Ilość]]*Tabela52[[#This Row],[C.j. netto]]</f>
        <v>0</v>
      </c>
      <c r="G31" s="37"/>
      <c r="H31" s="38"/>
      <c r="I31" s="37"/>
      <c r="J31" s="37"/>
      <c r="K31" s="37"/>
      <c r="L31" s="37"/>
    </row>
    <row r="32" spans="1:12">
      <c r="A32" s="202" t="s">
        <v>65</v>
      </c>
      <c r="B32" s="57" t="s">
        <v>931</v>
      </c>
      <c r="C32" s="35" t="s">
        <v>29</v>
      </c>
      <c r="D32" s="64">
        <v>6</v>
      </c>
      <c r="E32" s="36"/>
      <c r="F32" s="36">
        <f>Tabela52[[#This Row],[Ilość]]*Tabela52[[#This Row],[C.j. netto]]</f>
        <v>0</v>
      </c>
      <c r="G32" s="37"/>
      <c r="H32" s="38"/>
      <c r="I32" s="37"/>
      <c r="J32" s="37"/>
      <c r="K32" s="37"/>
      <c r="L32" s="37"/>
    </row>
    <row r="33" spans="1:12">
      <c r="A33" s="202" t="s">
        <v>67</v>
      </c>
      <c r="B33" s="57" t="s">
        <v>932</v>
      </c>
      <c r="C33" s="35" t="s">
        <v>29</v>
      </c>
      <c r="D33" s="64">
        <v>5</v>
      </c>
      <c r="E33" s="36"/>
      <c r="F33" s="36">
        <f>Tabela52[[#This Row],[Ilość]]*Tabela52[[#This Row],[C.j. netto]]</f>
        <v>0</v>
      </c>
      <c r="G33" s="37"/>
      <c r="H33" s="38"/>
      <c r="I33" s="37"/>
      <c r="J33" s="37"/>
      <c r="K33" s="37"/>
      <c r="L33" s="37"/>
    </row>
    <row r="34" spans="1:12">
      <c r="A34" s="202" t="s">
        <v>69</v>
      </c>
      <c r="B34" s="57" t="s">
        <v>933</v>
      </c>
      <c r="C34" s="35" t="s">
        <v>29</v>
      </c>
      <c r="D34" s="64">
        <v>40</v>
      </c>
      <c r="E34" s="36"/>
      <c r="F34" s="36">
        <f>Tabela52[[#This Row],[Ilość]]*Tabela52[[#This Row],[C.j. netto]]</f>
        <v>0</v>
      </c>
      <c r="G34" s="37"/>
      <c r="H34" s="38"/>
      <c r="I34" s="37"/>
      <c r="J34" s="37"/>
      <c r="K34" s="37"/>
      <c r="L34" s="37"/>
    </row>
    <row r="35" spans="1:12">
      <c r="A35" s="202" t="s">
        <v>71</v>
      </c>
      <c r="B35" s="57" t="s">
        <v>1253</v>
      </c>
      <c r="C35" s="35" t="s">
        <v>29</v>
      </c>
      <c r="D35" s="64">
        <v>50</v>
      </c>
      <c r="E35" s="36"/>
      <c r="F35" s="36">
        <f>Tabela52[[#This Row],[Ilość]]*Tabela52[[#This Row],[C.j. netto]]</f>
        <v>0</v>
      </c>
      <c r="G35" s="37"/>
      <c r="H35" s="38"/>
      <c r="I35" s="37"/>
      <c r="J35" s="37"/>
      <c r="K35" s="37"/>
      <c r="L35" s="37"/>
    </row>
    <row r="36" spans="1:12">
      <c r="A36" s="202" t="s">
        <v>73</v>
      </c>
      <c r="B36" s="57" t="s">
        <v>934</v>
      </c>
      <c r="C36" s="35" t="s">
        <v>29</v>
      </c>
      <c r="D36" s="64">
        <v>14</v>
      </c>
      <c r="E36" s="36"/>
      <c r="F36" s="36">
        <f>Tabela52[[#This Row],[Ilość]]*Tabela52[[#This Row],[C.j. netto]]</f>
        <v>0</v>
      </c>
      <c r="G36" s="37"/>
      <c r="H36" s="38"/>
      <c r="I36" s="37"/>
      <c r="J36" s="37"/>
      <c r="K36" s="37"/>
      <c r="L36" s="37"/>
    </row>
    <row r="37" spans="1:12" ht="25.5">
      <c r="A37" s="202" t="s">
        <v>75</v>
      </c>
      <c r="B37" s="57" t="s">
        <v>935</v>
      </c>
      <c r="C37" s="35" t="s">
        <v>29</v>
      </c>
      <c r="D37" s="64">
        <v>40</v>
      </c>
      <c r="E37" s="36"/>
      <c r="F37" s="36">
        <f>Tabela52[[#This Row],[Ilość]]*Tabela52[[#This Row],[C.j. netto]]</f>
        <v>0</v>
      </c>
      <c r="G37" s="37"/>
      <c r="H37" s="38"/>
      <c r="I37" s="37"/>
      <c r="J37" s="37"/>
      <c r="K37" s="37"/>
      <c r="L37" s="37"/>
    </row>
    <row r="38" spans="1:12">
      <c r="A38" s="202" t="s">
        <v>77</v>
      </c>
      <c r="B38" s="57" t="s">
        <v>936</v>
      </c>
      <c r="C38" s="35" t="s">
        <v>29</v>
      </c>
      <c r="D38" s="64">
        <v>6</v>
      </c>
      <c r="E38" s="36"/>
      <c r="F38" s="36">
        <f>Tabela52[[#This Row],[Ilość]]*Tabela52[[#This Row],[C.j. netto]]</f>
        <v>0</v>
      </c>
      <c r="G38" s="37"/>
      <c r="H38" s="38"/>
      <c r="I38" s="37"/>
      <c r="J38" s="37"/>
      <c r="K38" s="37"/>
      <c r="L38" s="37"/>
    </row>
    <row r="39" spans="1:12">
      <c r="A39" s="202" t="s">
        <v>79</v>
      </c>
      <c r="B39" s="57" t="s">
        <v>937</v>
      </c>
      <c r="C39" s="35" t="s">
        <v>29</v>
      </c>
      <c r="D39" s="64">
        <v>5</v>
      </c>
      <c r="E39" s="36"/>
      <c r="F39" s="36">
        <f>Tabela52[[#This Row],[Ilość]]*Tabela52[[#This Row],[C.j. netto]]</f>
        <v>0</v>
      </c>
      <c r="G39" s="37"/>
      <c r="H39" s="38"/>
      <c r="I39" s="37"/>
      <c r="J39" s="37"/>
      <c r="K39" s="37"/>
      <c r="L39" s="37"/>
    </row>
    <row r="40" spans="1:12">
      <c r="A40" s="202" t="s">
        <v>81</v>
      </c>
      <c r="B40" s="57" t="s">
        <v>938</v>
      </c>
      <c r="C40" s="35" t="s">
        <v>29</v>
      </c>
      <c r="D40" s="64">
        <v>5</v>
      </c>
      <c r="E40" s="36"/>
      <c r="F40" s="36">
        <f>Tabela52[[#This Row],[Ilość]]*Tabela52[[#This Row],[C.j. netto]]</f>
        <v>0</v>
      </c>
      <c r="G40" s="37"/>
      <c r="H40" s="38"/>
      <c r="I40" s="37"/>
      <c r="J40" s="37"/>
      <c r="K40" s="37"/>
      <c r="L40" s="37"/>
    </row>
    <row r="41" spans="1:12">
      <c r="A41" s="202" t="s">
        <v>83</v>
      </c>
      <c r="B41" s="57" t="s">
        <v>939</v>
      </c>
      <c r="C41" s="35" t="s">
        <v>16</v>
      </c>
      <c r="D41" s="64">
        <v>12</v>
      </c>
      <c r="E41" s="36"/>
      <c r="F41" s="36">
        <f>Tabela52[[#This Row],[Ilość]]*Tabela52[[#This Row],[C.j. netto]]</f>
        <v>0</v>
      </c>
      <c r="G41" s="37"/>
      <c r="H41" s="38"/>
      <c r="I41" s="37"/>
      <c r="J41" s="37"/>
      <c r="K41" s="37"/>
      <c r="L41" s="37"/>
    </row>
    <row r="42" spans="1:12">
      <c r="A42" s="202" t="s">
        <v>84</v>
      </c>
      <c r="B42" s="57" t="s">
        <v>940</v>
      </c>
      <c r="C42" s="35" t="s">
        <v>16</v>
      </c>
      <c r="D42" s="64">
        <v>12</v>
      </c>
      <c r="E42" s="36"/>
      <c r="F42" s="36">
        <f>Tabela52[[#This Row],[Ilość]]*Tabela52[[#This Row],[C.j. netto]]</f>
        <v>0</v>
      </c>
      <c r="G42" s="37"/>
      <c r="H42" s="38"/>
      <c r="I42" s="37"/>
      <c r="J42" s="37"/>
      <c r="K42" s="37"/>
      <c r="L42" s="37"/>
    </row>
    <row r="43" spans="1:12">
      <c r="A43" s="9" t="s">
        <v>118</v>
      </c>
      <c r="B43" s="7"/>
      <c r="C43" s="25"/>
      <c r="D43" s="25"/>
      <c r="E43" s="12"/>
      <c r="F43" s="61">
        <f>SUBTOTAL(109,Tabela52[Wartość netto])</f>
        <v>0</v>
      </c>
      <c r="G43" s="12"/>
      <c r="H43" s="25"/>
      <c r="I43" s="12"/>
      <c r="J43" s="12"/>
      <c r="K43" s="12"/>
      <c r="L43" s="12"/>
    </row>
    <row r="44" spans="1:12">
      <c r="A44" s="27"/>
      <c r="B44" s="60"/>
      <c r="E44"/>
      <c r="F44" s="28"/>
      <c r="H44" s="24"/>
    </row>
    <row r="45" spans="1:12" ht="30">
      <c r="A45" s="10" t="s">
        <v>115</v>
      </c>
      <c r="B45" s="5"/>
    </row>
    <row r="46" spans="1:12" ht="15">
      <c r="A46" s="11" t="s">
        <v>116</v>
      </c>
      <c r="B46" s="5"/>
      <c r="L46" s="17"/>
    </row>
    <row r="47" spans="1:12" ht="15">
      <c r="A47" s="11" t="s">
        <v>117</v>
      </c>
      <c r="B47" s="5"/>
      <c r="L47" s="32" t="s">
        <v>119</v>
      </c>
    </row>
    <row r="49" ht="30" customHeight="1"/>
    <row r="50" ht="30" customHeight="1"/>
    <row r="51" ht="30" customHeight="1"/>
    <row r="52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4A4E-2B25-4E9D-82D8-E07533814418}">
  <sheetPr>
    <pageSetUpPr fitToPage="1"/>
  </sheetPr>
  <dimension ref="A1:M59"/>
  <sheetViews>
    <sheetView workbookViewId="0">
      <selection activeCell="B10" sqref="B10"/>
    </sheetView>
    <sheetView workbookViewId="1"/>
    <sheetView workbookViewId="2">
      <selection activeCell="E9" sqref="E9:E11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838</v>
      </c>
      <c r="B1" s="20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33" t="s">
        <v>4</v>
      </c>
      <c r="B9" s="34" t="s">
        <v>943</v>
      </c>
      <c r="C9" s="35" t="s">
        <v>16</v>
      </c>
      <c r="D9" s="64">
        <v>100</v>
      </c>
      <c r="E9" s="36"/>
      <c r="F9" s="36">
        <f>Tabela53[[#This Row],[Ilość]]*Tabela53[[#This Row],[C.j. netto]]</f>
        <v>0</v>
      </c>
      <c r="G9" s="37"/>
      <c r="H9" s="38"/>
      <c r="I9" s="37"/>
      <c r="J9" s="37"/>
      <c r="K9" s="37"/>
      <c r="L9" s="39"/>
    </row>
    <row r="10" spans="1:13" ht="25.5">
      <c r="A10" s="33" t="s">
        <v>5</v>
      </c>
      <c r="B10" s="34" t="s">
        <v>944</v>
      </c>
      <c r="C10" s="35" t="s">
        <v>16</v>
      </c>
      <c r="D10" s="64">
        <v>200</v>
      </c>
      <c r="E10" s="36"/>
      <c r="F10" s="36">
        <f>Tabela53[[#This Row],[Ilość]]*Tabela53[[#This Row],[C.j. netto]]</f>
        <v>0</v>
      </c>
      <c r="G10" s="37"/>
      <c r="H10" s="38"/>
      <c r="I10" s="37"/>
      <c r="J10" s="37"/>
      <c r="K10" s="37"/>
      <c r="L10" s="39"/>
    </row>
    <row r="11" spans="1:13" ht="25.5">
      <c r="A11" s="33" t="s">
        <v>6</v>
      </c>
      <c r="B11" s="34" t="s">
        <v>945</v>
      </c>
      <c r="C11" s="35" t="s">
        <v>16</v>
      </c>
      <c r="D11" s="64">
        <v>70</v>
      </c>
      <c r="E11" s="36"/>
      <c r="F11" s="36">
        <f>Tabela53[[#This Row],[Ilość]]*Tabela53[[#This Row],[C.j. netto]]</f>
        <v>0</v>
      </c>
      <c r="G11" s="37"/>
      <c r="H11" s="38"/>
      <c r="I11" s="37"/>
      <c r="J11" s="37"/>
      <c r="K11" s="37"/>
      <c r="L11" s="39"/>
    </row>
    <row r="12" spans="1:13">
      <c r="A12" s="13" t="s">
        <v>118</v>
      </c>
      <c r="B12" s="14"/>
      <c r="C12" s="26"/>
      <c r="D12" s="26"/>
      <c r="E12" s="15"/>
      <c r="F12" s="31">
        <f>SUBTOTAL(109,Tabela53[Wartość netto])</f>
        <v>0</v>
      </c>
      <c r="G12" s="15"/>
      <c r="H12" s="26"/>
      <c r="I12" s="15"/>
      <c r="J12" s="15"/>
      <c r="K12" s="15"/>
      <c r="L12" s="16"/>
    </row>
    <row r="15" spans="1:13" ht="30">
      <c r="A15" s="10" t="s">
        <v>115</v>
      </c>
      <c r="B15" s="5"/>
    </row>
    <row r="16" spans="1:13" ht="15">
      <c r="A16" s="11" t="s">
        <v>116</v>
      </c>
      <c r="B16" s="5"/>
      <c r="L16" s="17"/>
    </row>
    <row r="17" spans="1:12" ht="15">
      <c r="A17" s="11" t="s">
        <v>117</v>
      </c>
      <c r="B17" s="5"/>
      <c r="L17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2933-8970-4B7C-8782-3165B1CB55FC}">
  <sheetPr>
    <pageSetUpPr fitToPage="1"/>
  </sheetPr>
  <dimension ref="A1:M70"/>
  <sheetViews>
    <sheetView topLeftCell="A24" workbookViewId="0">
      <selection activeCell="C42" sqref="C42"/>
    </sheetView>
    <sheetView workbookViewId="1"/>
    <sheetView workbookViewId="2">
      <selection activeCell="E9" sqref="E9:E48"/>
    </sheetView>
  </sheetViews>
  <sheetFormatPr defaultRowHeight="14.25"/>
  <cols>
    <col min="1" max="1" width="14.125" customWidth="1"/>
    <col min="2" max="2" width="56.87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840</v>
      </c>
      <c r="B1" s="22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78" t="s">
        <v>4</v>
      </c>
      <c r="B9" s="103" t="s">
        <v>947</v>
      </c>
      <c r="C9" s="105" t="s">
        <v>415</v>
      </c>
      <c r="D9" s="105">
        <v>1400</v>
      </c>
      <c r="E9" s="114"/>
      <c r="F9" s="114">
        <f>Tabela54[[#This Row],[Ilość]]*Tabela54[[#This Row],[C.j. netto]]</f>
        <v>0</v>
      </c>
      <c r="G9" s="37"/>
      <c r="H9" s="38"/>
      <c r="I9" s="119"/>
      <c r="J9" s="37"/>
      <c r="K9" s="37"/>
      <c r="L9" s="37"/>
    </row>
    <row r="10" spans="1:13" ht="25.5">
      <c r="A10" s="78" t="s">
        <v>5</v>
      </c>
      <c r="B10" s="103" t="s">
        <v>948</v>
      </c>
      <c r="C10" s="105" t="s">
        <v>415</v>
      </c>
      <c r="D10" s="105">
        <v>320</v>
      </c>
      <c r="E10" s="114"/>
      <c r="F10" s="114">
        <f>Tabela54[[#This Row],[Ilość]]*Tabela54[[#This Row],[C.j. netto]]</f>
        <v>0</v>
      </c>
      <c r="G10" s="37"/>
      <c r="H10" s="38"/>
      <c r="I10" s="119"/>
      <c r="J10" s="37"/>
      <c r="K10" s="37"/>
      <c r="L10" s="37"/>
    </row>
    <row r="11" spans="1:13">
      <c r="A11" s="78" t="s">
        <v>1271</v>
      </c>
      <c r="B11" s="103" t="s">
        <v>949</v>
      </c>
      <c r="C11" s="105" t="s">
        <v>415</v>
      </c>
      <c r="D11" s="105">
        <v>300</v>
      </c>
      <c r="E11" s="114"/>
      <c r="F11" s="114">
        <f>Tabela54[[#This Row],[Ilość]]*Tabela54[[#This Row],[C.j. netto]]</f>
        <v>0</v>
      </c>
      <c r="G11" s="37"/>
      <c r="H11" s="38"/>
      <c r="I11" s="119"/>
      <c r="J11" s="37"/>
      <c r="K11" s="37"/>
      <c r="L11" s="37"/>
    </row>
    <row r="12" spans="1:13">
      <c r="A12" s="78" t="s">
        <v>26</v>
      </c>
      <c r="B12" s="103" t="s">
        <v>950</v>
      </c>
      <c r="C12" s="105" t="s">
        <v>415</v>
      </c>
      <c r="D12" s="105">
        <v>40</v>
      </c>
      <c r="E12" s="114"/>
      <c r="F12" s="114">
        <f>Tabela54[[#This Row],[Ilość]]*Tabela54[[#This Row],[C.j. netto]]</f>
        <v>0</v>
      </c>
      <c r="G12" s="37"/>
      <c r="H12" s="38"/>
      <c r="I12" s="119"/>
      <c r="J12" s="37"/>
      <c r="K12" s="37"/>
      <c r="L12" s="37"/>
    </row>
    <row r="13" spans="1:13">
      <c r="A13" s="78" t="s">
        <v>27</v>
      </c>
      <c r="B13" s="103" t="s">
        <v>951</v>
      </c>
      <c r="C13" s="105" t="s">
        <v>415</v>
      </c>
      <c r="D13" s="106">
        <v>3700</v>
      </c>
      <c r="E13" s="114"/>
      <c r="F13" s="114">
        <f>Tabela54[[#This Row],[Ilość]]*Tabela54[[#This Row],[C.j. netto]]</f>
        <v>0</v>
      </c>
      <c r="G13" s="37"/>
      <c r="H13" s="38"/>
      <c r="I13" s="119"/>
      <c r="J13" s="37"/>
      <c r="K13" s="37"/>
      <c r="L13" s="37"/>
    </row>
    <row r="14" spans="1:13">
      <c r="A14" s="78" t="s">
        <v>32</v>
      </c>
      <c r="B14" s="103" t="s">
        <v>952</v>
      </c>
      <c r="C14" s="105" t="s">
        <v>415</v>
      </c>
      <c r="D14" s="106">
        <v>3500</v>
      </c>
      <c r="E14" s="114"/>
      <c r="F14" s="114">
        <f>Tabela54[[#This Row],[Ilość]]*Tabela54[[#This Row],[C.j. netto]]</f>
        <v>0</v>
      </c>
      <c r="G14" s="37"/>
      <c r="H14" s="38"/>
      <c r="I14" s="119"/>
      <c r="J14" s="37"/>
      <c r="K14" s="37"/>
      <c r="L14" s="37"/>
    </row>
    <row r="15" spans="1:13">
      <c r="A15" s="78" t="s">
        <v>34</v>
      </c>
      <c r="B15" s="103" t="s">
        <v>953</v>
      </c>
      <c r="C15" s="105" t="s">
        <v>415</v>
      </c>
      <c r="D15" s="105">
        <v>60</v>
      </c>
      <c r="E15" s="114"/>
      <c r="F15" s="114">
        <f>Tabela54[[#This Row],[Ilość]]*Tabela54[[#This Row],[C.j. netto]]</f>
        <v>0</v>
      </c>
      <c r="G15" s="37"/>
      <c r="H15" s="38"/>
      <c r="I15" s="119"/>
      <c r="J15" s="37"/>
      <c r="K15" s="37"/>
      <c r="L15" s="37"/>
    </row>
    <row r="16" spans="1:13">
      <c r="A16" s="78" t="s">
        <v>36</v>
      </c>
      <c r="B16" s="103" t="s">
        <v>954</v>
      </c>
      <c r="C16" s="105" t="s">
        <v>415</v>
      </c>
      <c r="D16" s="105">
        <v>96</v>
      </c>
      <c r="E16" s="114"/>
      <c r="F16" s="114">
        <f>Tabela54[[#This Row],[Ilość]]*Tabela54[[#This Row],[C.j. netto]]</f>
        <v>0</v>
      </c>
      <c r="G16" s="37"/>
      <c r="H16" s="38"/>
      <c r="I16" s="119"/>
      <c r="J16" s="37"/>
      <c r="K16" s="37"/>
      <c r="L16" s="37"/>
    </row>
    <row r="17" spans="1:12">
      <c r="A17" s="78" t="s">
        <v>38</v>
      </c>
      <c r="B17" s="103" t="s">
        <v>955</v>
      </c>
      <c r="C17" s="105" t="s">
        <v>415</v>
      </c>
      <c r="D17" s="105">
        <v>400</v>
      </c>
      <c r="E17" s="114"/>
      <c r="F17" s="114">
        <f>Tabela54[[#This Row],[Ilość]]*Tabela54[[#This Row],[C.j. netto]]</f>
        <v>0</v>
      </c>
      <c r="G17" s="37"/>
      <c r="H17" s="38"/>
      <c r="I17" s="119"/>
      <c r="J17" s="37"/>
      <c r="K17" s="37"/>
      <c r="L17" s="37"/>
    </row>
    <row r="18" spans="1:12">
      <c r="A18" s="78" t="s">
        <v>40</v>
      </c>
      <c r="B18" s="103" t="s">
        <v>956</v>
      </c>
      <c r="C18" s="105" t="s">
        <v>415</v>
      </c>
      <c r="D18" s="105">
        <v>200</v>
      </c>
      <c r="E18" s="114"/>
      <c r="F18" s="114">
        <f>Tabela54[[#This Row],[Ilość]]*Tabela54[[#This Row],[C.j. netto]]</f>
        <v>0</v>
      </c>
      <c r="G18" s="37"/>
      <c r="H18" s="38"/>
      <c r="I18" s="119"/>
      <c r="J18" s="37"/>
      <c r="K18" s="37"/>
      <c r="L18" s="37"/>
    </row>
    <row r="19" spans="1:12">
      <c r="A19" s="78" t="s">
        <v>42</v>
      </c>
      <c r="B19" s="103" t="s">
        <v>1202</v>
      </c>
      <c r="C19" s="105" t="s">
        <v>415</v>
      </c>
      <c r="D19" s="106">
        <v>3000</v>
      </c>
      <c r="E19" s="114"/>
      <c r="F19" s="114">
        <f>Tabela54[[#This Row],[Ilość]]*Tabela54[[#This Row],[C.j. netto]]</f>
        <v>0</v>
      </c>
      <c r="G19" s="37"/>
      <c r="H19" s="38"/>
      <c r="I19" s="119"/>
      <c r="J19" s="37"/>
      <c r="K19" s="37"/>
      <c r="L19" s="37"/>
    </row>
    <row r="20" spans="1:12">
      <c r="A20" s="78" t="s">
        <v>45</v>
      </c>
      <c r="B20" s="103" t="s">
        <v>1203</v>
      </c>
      <c r="C20" s="117" t="s">
        <v>415</v>
      </c>
      <c r="D20" s="106">
        <v>1000</v>
      </c>
      <c r="E20" s="129"/>
      <c r="F20" s="114">
        <f>Tabela54[[#This Row],[Ilość]]*Tabela54[[#This Row],[C.j. netto]]</f>
        <v>0</v>
      </c>
      <c r="G20" s="37"/>
      <c r="H20" s="38"/>
      <c r="I20" s="119"/>
      <c r="J20" s="37"/>
      <c r="K20" s="37"/>
      <c r="L20" s="37"/>
    </row>
    <row r="21" spans="1:12">
      <c r="A21" s="78" t="s">
        <v>47</v>
      </c>
      <c r="B21" s="103" t="s">
        <v>957</v>
      </c>
      <c r="C21" s="105" t="s">
        <v>415</v>
      </c>
      <c r="D21" s="106">
        <v>800</v>
      </c>
      <c r="E21" s="114"/>
      <c r="F21" s="114">
        <f>Tabela54[[#This Row],[Ilość]]*Tabela54[[#This Row],[C.j. netto]]</f>
        <v>0</v>
      </c>
      <c r="G21" s="37"/>
      <c r="H21" s="38"/>
      <c r="I21" s="119"/>
      <c r="J21" s="37"/>
      <c r="K21" s="37"/>
      <c r="L21" s="37"/>
    </row>
    <row r="22" spans="1:12">
      <c r="A22" s="78" t="s">
        <v>48</v>
      </c>
      <c r="B22" s="103" t="s">
        <v>1204</v>
      </c>
      <c r="C22" s="117" t="s">
        <v>415</v>
      </c>
      <c r="D22" s="106">
        <v>200</v>
      </c>
      <c r="E22" s="129"/>
      <c r="F22" s="114">
        <f>Tabela54[[#This Row],[Ilość]]*Tabela54[[#This Row],[C.j. netto]]</f>
        <v>0</v>
      </c>
      <c r="G22" s="37"/>
      <c r="H22" s="38"/>
      <c r="I22" s="119"/>
      <c r="J22" s="37"/>
      <c r="K22" s="37"/>
      <c r="L22" s="37"/>
    </row>
    <row r="23" spans="1:12">
      <c r="A23" s="78" t="s">
        <v>49</v>
      </c>
      <c r="B23" s="103" t="s">
        <v>958</v>
      </c>
      <c r="C23" s="105" t="s">
        <v>415</v>
      </c>
      <c r="D23" s="105">
        <v>600</v>
      </c>
      <c r="E23" s="114"/>
      <c r="F23" s="114">
        <f>Tabela54[[#This Row],[Ilość]]*Tabela54[[#This Row],[C.j. netto]]</f>
        <v>0</v>
      </c>
      <c r="G23" s="37"/>
      <c r="H23" s="38"/>
      <c r="I23" s="119"/>
      <c r="J23" s="37"/>
      <c r="K23" s="37"/>
      <c r="L23" s="37"/>
    </row>
    <row r="24" spans="1:12">
      <c r="A24" s="78" t="s">
        <v>50</v>
      </c>
      <c r="B24" s="103" t="s">
        <v>959</v>
      </c>
      <c r="C24" s="105" t="s">
        <v>415</v>
      </c>
      <c r="D24" s="105">
        <v>150</v>
      </c>
      <c r="E24" s="114"/>
      <c r="F24" s="114">
        <f>Tabela54[[#This Row],[Ilość]]*Tabela54[[#This Row],[C.j. netto]]</f>
        <v>0</v>
      </c>
      <c r="G24" s="37"/>
      <c r="H24" s="38"/>
      <c r="I24" s="119"/>
      <c r="J24" s="37"/>
      <c r="K24" s="37"/>
      <c r="L24" s="37"/>
    </row>
    <row r="25" spans="1:12" ht="25.5">
      <c r="A25" s="78" t="s">
        <v>52</v>
      </c>
      <c r="B25" s="103" t="s">
        <v>960</v>
      </c>
      <c r="C25" s="105" t="s">
        <v>415</v>
      </c>
      <c r="D25" s="105">
        <v>800</v>
      </c>
      <c r="E25" s="114"/>
      <c r="F25" s="114">
        <f>Tabela54[[#This Row],[Ilość]]*Tabela54[[#This Row],[C.j. netto]]</f>
        <v>0</v>
      </c>
      <c r="G25" s="37"/>
      <c r="H25" s="38"/>
      <c r="I25" s="119"/>
      <c r="J25" s="37"/>
      <c r="K25" s="37"/>
      <c r="L25" s="37"/>
    </row>
    <row r="26" spans="1:12" ht="25.5">
      <c r="A26" s="78" t="s">
        <v>54</v>
      </c>
      <c r="B26" s="103" t="s">
        <v>961</v>
      </c>
      <c r="C26" s="105" t="s">
        <v>415</v>
      </c>
      <c r="D26" s="105">
        <v>500</v>
      </c>
      <c r="E26" s="114"/>
      <c r="F26" s="114">
        <f>Tabela54[[#This Row],[Ilość]]*Tabela54[[#This Row],[C.j. netto]]</f>
        <v>0</v>
      </c>
      <c r="G26" s="37"/>
      <c r="H26" s="38"/>
      <c r="I26" s="119"/>
      <c r="J26" s="37"/>
      <c r="K26" s="37"/>
      <c r="L26" s="37"/>
    </row>
    <row r="27" spans="1:12">
      <c r="A27" s="78" t="s">
        <v>56</v>
      </c>
      <c r="B27" s="103" t="s">
        <v>962</v>
      </c>
      <c r="C27" s="105" t="s">
        <v>415</v>
      </c>
      <c r="D27" s="106">
        <v>1800</v>
      </c>
      <c r="E27" s="114"/>
      <c r="F27" s="114">
        <f>Tabela54[[#This Row],[Ilość]]*Tabela54[[#This Row],[C.j. netto]]</f>
        <v>0</v>
      </c>
      <c r="G27" s="37"/>
      <c r="H27" s="38"/>
      <c r="I27" s="119"/>
      <c r="J27" s="37"/>
      <c r="K27" s="37"/>
      <c r="L27" s="37"/>
    </row>
    <row r="28" spans="1:12">
      <c r="A28" s="78" t="s">
        <v>57</v>
      </c>
      <c r="B28" s="103" t="s">
        <v>963</v>
      </c>
      <c r="C28" s="105" t="s">
        <v>415</v>
      </c>
      <c r="D28" s="106">
        <v>900</v>
      </c>
      <c r="E28" s="114"/>
      <c r="F28" s="114">
        <f>Tabela54[[#This Row],[Ilość]]*Tabela54[[#This Row],[C.j. netto]]</f>
        <v>0</v>
      </c>
      <c r="G28" s="37"/>
      <c r="H28" s="38"/>
      <c r="I28" s="119"/>
      <c r="J28" s="37"/>
      <c r="K28" s="37"/>
      <c r="L28" s="37"/>
    </row>
    <row r="29" spans="1:12" ht="25.5">
      <c r="A29" s="78" t="s">
        <v>59</v>
      </c>
      <c r="B29" s="103" t="s">
        <v>964</v>
      </c>
      <c r="C29" s="105" t="s">
        <v>415</v>
      </c>
      <c r="D29" s="106">
        <v>45000</v>
      </c>
      <c r="E29" s="114"/>
      <c r="F29" s="114">
        <f>Tabela54[[#This Row],[Ilość]]*Tabela54[[#This Row],[C.j. netto]]</f>
        <v>0</v>
      </c>
      <c r="G29" s="37"/>
      <c r="H29" s="38"/>
      <c r="I29" s="119"/>
      <c r="J29" s="37"/>
      <c r="K29" s="37"/>
      <c r="L29" s="37"/>
    </row>
    <row r="30" spans="1:12" ht="25.5">
      <c r="A30" s="78" t="s">
        <v>61</v>
      </c>
      <c r="B30" s="103" t="s">
        <v>965</v>
      </c>
      <c r="C30" s="105" t="s">
        <v>415</v>
      </c>
      <c r="D30" s="106">
        <v>20000</v>
      </c>
      <c r="E30" s="114"/>
      <c r="F30" s="114">
        <f>Tabela54[[#This Row],[Ilość]]*Tabela54[[#This Row],[C.j. netto]]</f>
        <v>0</v>
      </c>
      <c r="G30" s="37"/>
      <c r="H30" s="38"/>
      <c r="I30" s="119"/>
      <c r="J30" s="37"/>
      <c r="K30" s="37"/>
      <c r="L30" s="37"/>
    </row>
    <row r="31" spans="1:12" ht="25.5">
      <c r="A31" s="78" t="s">
        <v>63</v>
      </c>
      <c r="B31" s="103" t="s">
        <v>966</v>
      </c>
      <c r="C31" s="105" t="s">
        <v>415</v>
      </c>
      <c r="D31" s="106">
        <v>20000</v>
      </c>
      <c r="E31" s="114"/>
      <c r="F31" s="114">
        <f>Tabela54[[#This Row],[Ilość]]*Tabela54[[#This Row],[C.j. netto]]</f>
        <v>0</v>
      </c>
      <c r="G31" s="37"/>
      <c r="H31" s="38"/>
      <c r="I31" s="119"/>
      <c r="J31" s="37"/>
      <c r="K31" s="37"/>
      <c r="L31" s="37"/>
    </row>
    <row r="32" spans="1:12" ht="38.25">
      <c r="A32" s="78" t="s">
        <v>65</v>
      </c>
      <c r="B32" s="103" t="s">
        <v>1223</v>
      </c>
      <c r="C32" s="117" t="s">
        <v>415</v>
      </c>
      <c r="D32" s="106">
        <v>100</v>
      </c>
      <c r="E32" s="129"/>
      <c r="F32" s="114">
        <v>180700</v>
      </c>
      <c r="G32" s="37"/>
      <c r="H32" s="38"/>
      <c r="I32" s="119"/>
      <c r="J32" s="37"/>
      <c r="K32" s="37"/>
      <c r="L32" s="37"/>
    </row>
    <row r="33" spans="1:12" ht="38.25">
      <c r="A33" s="78" t="s">
        <v>67</v>
      </c>
      <c r="B33" s="103" t="s">
        <v>1221</v>
      </c>
      <c r="C33" s="105" t="s">
        <v>415</v>
      </c>
      <c r="D33" s="106">
        <v>625</v>
      </c>
      <c r="E33" s="114"/>
      <c r="F33" s="114">
        <f>Tabela54[[#This Row],[Ilość]]*Tabela54[[#This Row],[C.j. netto]]</f>
        <v>0</v>
      </c>
      <c r="G33" s="37"/>
      <c r="H33" s="38"/>
      <c r="I33" s="119"/>
      <c r="J33" s="37"/>
      <c r="K33" s="37"/>
      <c r="L33" s="37"/>
    </row>
    <row r="34" spans="1:12" ht="38.25">
      <c r="A34" s="78" t="s">
        <v>69</v>
      </c>
      <c r="B34" s="103" t="s">
        <v>1222</v>
      </c>
      <c r="C34" s="117" t="s">
        <v>415</v>
      </c>
      <c r="D34" s="106">
        <v>250</v>
      </c>
      <c r="E34" s="129"/>
      <c r="F34" s="114">
        <f>Tabela54[[#This Row],[Ilość]]*Tabela54[[#This Row],[C.j. netto]]</f>
        <v>0</v>
      </c>
      <c r="G34" s="37"/>
      <c r="H34" s="38"/>
      <c r="I34" s="119"/>
      <c r="J34" s="37"/>
      <c r="K34" s="37"/>
      <c r="L34" s="37"/>
    </row>
    <row r="35" spans="1:12" ht="51">
      <c r="A35" s="78" t="s">
        <v>71</v>
      </c>
      <c r="B35" s="103" t="s">
        <v>967</v>
      </c>
      <c r="C35" s="105" t="s">
        <v>16</v>
      </c>
      <c r="D35" s="105">
        <v>144</v>
      </c>
      <c r="E35" s="114"/>
      <c r="F35" s="114">
        <f>Tabela54[[#This Row],[Ilość]]*Tabela54[[#This Row],[C.j. netto]]</f>
        <v>0</v>
      </c>
      <c r="G35" s="37"/>
      <c r="H35" s="38"/>
      <c r="I35" s="119"/>
      <c r="J35" s="37"/>
      <c r="K35" s="37"/>
      <c r="L35" s="37"/>
    </row>
    <row r="36" spans="1:12" ht="63.75">
      <c r="A36" s="78" t="s">
        <v>73</v>
      </c>
      <c r="B36" s="103" t="s">
        <v>968</v>
      </c>
      <c r="C36" s="105" t="s">
        <v>16</v>
      </c>
      <c r="D36" s="105">
        <v>300</v>
      </c>
      <c r="E36" s="114"/>
      <c r="F36" s="114">
        <f>Tabela54[[#This Row],[Ilość]]*Tabela54[[#This Row],[C.j. netto]]</f>
        <v>0</v>
      </c>
      <c r="G36" s="37"/>
      <c r="H36" s="38"/>
      <c r="I36" s="119"/>
      <c r="J36" s="37"/>
      <c r="K36" s="37"/>
      <c r="L36" s="37"/>
    </row>
    <row r="37" spans="1:12" ht="63.75">
      <c r="A37" s="78" t="s">
        <v>75</v>
      </c>
      <c r="B37" s="103" t="s">
        <v>969</v>
      </c>
      <c r="C37" s="105" t="s">
        <v>16</v>
      </c>
      <c r="D37" s="105">
        <v>300</v>
      </c>
      <c r="E37" s="114"/>
      <c r="F37" s="114">
        <f>Tabela54[[#This Row],[Ilość]]*Tabela54[[#This Row],[C.j. netto]]</f>
        <v>0</v>
      </c>
      <c r="G37" s="37"/>
      <c r="H37" s="38"/>
      <c r="I37" s="119"/>
      <c r="J37" s="37"/>
      <c r="K37" s="37"/>
      <c r="L37" s="37"/>
    </row>
    <row r="38" spans="1:12">
      <c r="A38" s="78" t="s">
        <v>77</v>
      </c>
      <c r="B38" s="103" t="s">
        <v>970</v>
      </c>
      <c r="C38" s="105" t="s">
        <v>415</v>
      </c>
      <c r="D38" s="105">
        <v>100</v>
      </c>
      <c r="E38" s="114"/>
      <c r="F38" s="114">
        <f>Tabela54[[#This Row],[Ilość]]*Tabela54[[#This Row],[C.j. netto]]</f>
        <v>0</v>
      </c>
      <c r="G38" s="37"/>
      <c r="H38" s="38"/>
      <c r="I38" s="119"/>
      <c r="J38" s="37"/>
      <c r="K38" s="37"/>
      <c r="L38" s="37"/>
    </row>
    <row r="39" spans="1:12" ht="28.5">
      <c r="A39" s="78" t="s">
        <v>79</v>
      </c>
      <c r="B39" s="188" t="s">
        <v>1201</v>
      </c>
      <c r="C39" s="117" t="s">
        <v>415</v>
      </c>
      <c r="D39" s="105">
        <v>1500</v>
      </c>
      <c r="E39" s="129"/>
      <c r="F39" s="114">
        <f>Tabela54[[#This Row],[Ilość]]*Tabela54[[#This Row],[C.j. netto]]</f>
        <v>0</v>
      </c>
      <c r="G39" s="37"/>
      <c r="H39" s="38"/>
      <c r="I39" s="119"/>
      <c r="J39" s="37"/>
      <c r="K39" s="37"/>
      <c r="L39" s="37"/>
    </row>
    <row r="40" spans="1:12">
      <c r="A40" s="78" t="s">
        <v>81</v>
      </c>
      <c r="B40" s="103" t="s">
        <v>120</v>
      </c>
      <c r="C40" s="117" t="s">
        <v>29</v>
      </c>
      <c r="D40" s="105">
        <v>350</v>
      </c>
      <c r="E40" s="129"/>
      <c r="F40" s="114">
        <f>Tabela54[[#This Row],[Ilość]]*Tabela54[[#This Row],[C.j. netto]]</f>
        <v>0</v>
      </c>
      <c r="G40" s="37"/>
      <c r="H40" s="38"/>
      <c r="I40" s="119"/>
      <c r="J40" s="37"/>
      <c r="K40" s="37"/>
      <c r="L40" s="37"/>
    </row>
    <row r="41" spans="1:12">
      <c r="A41" s="78" t="s">
        <v>83</v>
      </c>
      <c r="B41" s="103" t="s">
        <v>121</v>
      </c>
      <c r="C41" s="117" t="s">
        <v>29</v>
      </c>
      <c r="D41" s="105">
        <v>100</v>
      </c>
      <c r="E41" s="129"/>
      <c r="F41" s="114">
        <f>Tabela54[[#This Row],[Ilość]]*Tabela54[[#This Row],[C.j. netto]]</f>
        <v>0</v>
      </c>
      <c r="G41" s="37"/>
      <c r="H41" s="38"/>
      <c r="I41" s="119"/>
      <c r="J41" s="37"/>
      <c r="K41" s="37"/>
      <c r="L41" s="37"/>
    </row>
    <row r="42" spans="1:12">
      <c r="A42" s="78" t="s">
        <v>84</v>
      </c>
      <c r="B42" s="103" t="s">
        <v>1216</v>
      </c>
      <c r="C42" s="117" t="s">
        <v>29</v>
      </c>
      <c r="D42" s="105">
        <v>25</v>
      </c>
      <c r="E42" s="129"/>
      <c r="F42" s="114">
        <f>Tabela54[[#This Row],[Ilość]]*Tabela54[[#This Row],[C.j. netto]]</f>
        <v>0</v>
      </c>
      <c r="G42" s="37"/>
      <c r="H42" s="38"/>
      <c r="I42" s="119"/>
      <c r="J42" s="37"/>
      <c r="K42" s="37"/>
      <c r="L42" s="37"/>
    </row>
    <row r="43" spans="1:12">
      <c r="A43" s="78" t="s">
        <v>86</v>
      </c>
      <c r="B43" s="103" t="s">
        <v>1217</v>
      </c>
      <c r="C43" s="117" t="s">
        <v>29</v>
      </c>
      <c r="D43" s="105">
        <v>1000</v>
      </c>
      <c r="E43" s="129"/>
      <c r="F43" s="114">
        <f>Tabela54[[#This Row],[Ilość]]*Tabela54[[#This Row],[C.j. netto]]</f>
        <v>0</v>
      </c>
      <c r="G43" s="37"/>
      <c r="H43" s="38"/>
      <c r="I43" s="119"/>
      <c r="J43" s="37"/>
      <c r="K43" s="37"/>
      <c r="L43" s="37"/>
    </row>
    <row r="44" spans="1:12">
      <c r="A44" s="78" t="s">
        <v>88</v>
      </c>
      <c r="B44" s="103" t="s">
        <v>1218</v>
      </c>
      <c r="C44" s="117" t="s">
        <v>29</v>
      </c>
      <c r="D44" s="105">
        <v>500</v>
      </c>
      <c r="E44" s="129"/>
      <c r="F44" s="114">
        <f>Tabela54[[#This Row],[Ilość]]*Tabela54[[#This Row],[C.j. netto]]</f>
        <v>0</v>
      </c>
      <c r="G44" s="37"/>
      <c r="H44" s="38"/>
      <c r="I44" s="119"/>
      <c r="J44" s="37"/>
      <c r="K44" s="37"/>
      <c r="L44" s="37"/>
    </row>
    <row r="45" spans="1:12">
      <c r="A45" s="78" t="s">
        <v>89</v>
      </c>
      <c r="B45" s="103" t="s">
        <v>1219</v>
      </c>
      <c r="C45" s="117" t="s">
        <v>29</v>
      </c>
      <c r="D45" s="105">
        <v>300</v>
      </c>
      <c r="E45" s="129"/>
      <c r="F45" s="114">
        <f>Tabela54[[#This Row],[Ilość]]*Tabela54[[#This Row],[C.j. netto]]</f>
        <v>0</v>
      </c>
      <c r="G45" s="37"/>
      <c r="H45" s="38"/>
      <c r="I45" s="119"/>
      <c r="J45" s="37"/>
      <c r="K45" s="37"/>
      <c r="L45" s="37"/>
    </row>
    <row r="46" spans="1:12">
      <c r="A46" s="78" t="s">
        <v>90</v>
      </c>
      <c r="B46" s="103" t="s">
        <v>1220</v>
      </c>
      <c r="C46" s="117" t="s">
        <v>29</v>
      </c>
      <c r="D46" s="105">
        <v>25</v>
      </c>
      <c r="E46" s="129"/>
      <c r="F46" s="114">
        <f>Tabela54[[#This Row],[Ilość]]*Tabela54[[#This Row],[C.j. netto]]</f>
        <v>0</v>
      </c>
      <c r="G46" s="37"/>
      <c r="H46" s="38"/>
      <c r="I46" s="119"/>
      <c r="J46" s="37"/>
      <c r="K46" s="37"/>
      <c r="L46" s="37"/>
    </row>
    <row r="47" spans="1:12">
      <c r="A47" s="78" t="s">
        <v>92</v>
      </c>
      <c r="B47" s="103" t="s">
        <v>1228</v>
      </c>
      <c r="C47" s="117" t="s">
        <v>29</v>
      </c>
      <c r="D47" s="105">
        <v>150</v>
      </c>
      <c r="E47" s="129"/>
      <c r="F47" s="114">
        <f>Tabela54[[#This Row],[Ilość]]*Tabela54[[#This Row],[C.j. netto]]</f>
        <v>0</v>
      </c>
      <c r="G47" s="37"/>
      <c r="H47" s="38"/>
      <c r="I47" s="119"/>
      <c r="J47" s="37"/>
      <c r="K47" s="37"/>
      <c r="L47" s="37"/>
    </row>
    <row r="48" spans="1:12">
      <c r="A48" s="78" t="s">
        <v>94</v>
      </c>
      <c r="B48" s="103" t="s">
        <v>1229</v>
      </c>
      <c r="C48" s="117" t="s">
        <v>29</v>
      </c>
      <c r="D48" s="105">
        <v>2500</v>
      </c>
      <c r="E48" s="129"/>
      <c r="F48" s="114">
        <f>Tabela54[[#This Row],[Ilość]]*Tabela54[[#This Row],[C.j. netto]]</f>
        <v>0</v>
      </c>
      <c r="G48" s="37"/>
      <c r="H48" s="38"/>
      <c r="I48" s="119"/>
      <c r="J48" s="37"/>
      <c r="K48" s="37"/>
      <c r="L48" s="37"/>
    </row>
    <row r="49" spans="1:12">
      <c r="A49" s="102" t="s">
        <v>118</v>
      </c>
      <c r="B49" s="58"/>
      <c r="C49" s="25"/>
      <c r="D49" s="25"/>
      <c r="E49" s="12"/>
      <c r="F49" s="61">
        <f>SUBTOTAL(109,Tabela54[Wartość netto])</f>
        <v>180700</v>
      </c>
      <c r="G49" s="12"/>
      <c r="H49" s="25"/>
      <c r="I49" s="12"/>
      <c r="J49" s="12"/>
      <c r="K49" s="12"/>
      <c r="L49" s="12"/>
    </row>
    <row r="50" spans="1:12">
      <c r="A50" s="27"/>
      <c r="B50" s="60"/>
      <c r="E50"/>
      <c r="F50" s="28"/>
      <c r="H50" s="24"/>
    </row>
    <row r="51" spans="1:12">
      <c r="A51" s="27"/>
      <c r="B51" s="60"/>
      <c r="E51"/>
      <c r="F51" s="28"/>
      <c r="H51" s="24"/>
    </row>
    <row r="52" spans="1:12">
      <c r="A52" s="27"/>
      <c r="B52" s="60"/>
      <c r="E52"/>
      <c r="F52" s="28"/>
      <c r="H52" s="24"/>
    </row>
    <row r="53" spans="1:12" ht="30">
      <c r="A53" s="10" t="s">
        <v>115</v>
      </c>
      <c r="B53" s="5"/>
    </row>
    <row r="54" spans="1:12" ht="15">
      <c r="A54" s="11" t="s">
        <v>116</v>
      </c>
      <c r="B54" s="5"/>
      <c r="L54" s="17"/>
    </row>
    <row r="55" spans="1:12" ht="15">
      <c r="A55" s="11" t="s">
        <v>117</v>
      </c>
      <c r="B55" s="5"/>
      <c r="L55" s="32" t="s">
        <v>119</v>
      </c>
    </row>
    <row r="67" ht="30" customHeight="1"/>
    <row r="68" ht="30" customHeight="1"/>
    <row r="69" ht="30" customHeight="1"/>
    <row r="70" ht="30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49" fitToHeight="0" orientation="landscape" r:id="rId1"/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13951-87DA-458E-BAE0-258C59DBBE48}">
  <sheetPr>
    <pageSetUpPr fitToPage="1"/>
  </sheetPr>
  <dimension ref="A1:M59"/>
  <sheetViews>
    <sheetView workbookViewId="0">
      <selection activeCell="B14" sqref="B14"/>
    </sheetView>
    <sheetView workbookViewId="1"/>
    <sheetView workbookViewId="2">
      <selection activeCell="E9" sqref="E9:E16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841</v>
      </c>
      <c r="B1" s="193"/>
    </row>
    <row r="3" spans="1:13" ht="39.950000000000003" customHeight="1">
      <c r="A3" s="8" t="s">
        <v>112</v>
      </c>
      <c r="B3" s="265"/>
      <c r="C3" s="265"/>
      <c r="D3" s="265"/>
      <c r="E3" s="265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33" t="s">
        <v>4</v>
      </c>
      <c r="B9" s="34" t="s">
        <v>972</v>
      </c>
      <c r="C9" s="35" t="s">
        <v>106</v>
      </c>
      <c r="D9" s="64">
        <v>2500</v>
      </c>
      <c r="E9" s="36"/>
      <c r="F9" s="36">
        <f>Tabela55[[#This Row],[Ilość]]*Tabela55[[#This Row],[C.j. netto]]</f>
        <v>0</v>
      </c>
      <c r="G9" s="37"/>
      <c r="H9" s="38"/>
      <c r="I9" s="37"/>
      <c r="J9" s="37"/>
      <c r="K9" s="37"/>
      <c r="L9" s="39"/>
    </row>
    <row r="10" spans="1:13">
      <c r="A10" s="33" t="s">
        <v>1311</v>
      </c>
      <c r="B10" s="34" t="s">
        <v>973</v>
      </c>
      <c r="C10" s="35" t="s">
        <v>103</v>
      </c>
      <c r="D10" s="64">
        <v>80</v>
      </c>
      <c r="E10" s="36"/>
      <c r="F10" s="36">
        <f>Tabela55[[#This Row],[Ilość]]*Tabela55[[#This Row],[C.j. netto]]</f>
        <v>0</v>
      </c>
      <c r="G10" s="37"/>
      <c r="H10" s="38"/>
      <c r="I10" s="37"/>
      <c r="J10" s="37"/>
      <c r="K10" s="37"/>
      <c r="L10" s="39"/>
    </row>
    <row r="11" spans="1:13">
      <c r="A11" s="33" t="s">
        <v>6</v>
      </c>
      <c r="B11" s="34" t="s">
        <v>974</v>
      </c>
      <c r="C11" s="35" t="s">
        <v>106</v>
      </c>
      <c r="D11" s="64">
        <v>100</v>
      </c>
      <c r="E11" s="36"/>
      <c r="F11" s="36">
        <f>Tabela55[[#This Row],[Ilość]]*Tabela55[[#This Row],[C.j. netto]]</f>
        <v>0</v>
      </c>
      <c r="G11" s="37"/>
      <c r="H11" s="38"/>
      <c r="I11" s="66"/>
      <c r="J11" s="37"/>
      <c r="K11" s="37"/>
      <c r="L11" s="39"/>
    </row>
    <row r="12" spans="1:13">
      <c r="A12" s="33" t="s">
        <v>26</v>
      </c>
      <c r="B12" s="34" t="s">
        <v>975</v>
      </c>
      <c r="C12" s="35" t="s">
        <v>976</v>
      </c>
      <c r="D12" s="64">
        <v>60</v>
      </c>
      <c r="E12" s="36"/>
      <c r="F12" s="36">
        <f>Tabela55[[#This Row],[Ilość]]*Tabela55[[#This Row],[C.j. netto]]</f>
        <v>0</v>
      </c>
      <c r="G12" s="37"/>
      <c r="H12" s="38"/>
      <c r="I12" s="66"/>
      <c r="J12" s="37"/>
      <c r="K12" s="37"/>
      <c r="L12" s="39"/>
    </row>
    <row r="13" spans="1:13">
      <c r="A13" s="33" t="s">
        <v>27</v>
      </c>
      <c r="B13" s="34" t="s">
        <v>977</v>
      </c>
      <c r="C13" s="35" t="s">
        <v>29</v>
      </c>
      <c r="D13" s="64">
        <v>160</v>
      </c>
      <c r="E13" s="36"/>
      <c r="F13" s="36">
        <f>Tabela55[[#This Row],[Ilość]]*Tabela55[[#This Row],[C.j. netto]]</f>
        <v>0</v>
      </c>
      <c r="G13" s="37"/>
      <c r="H13" s="38"/>
      <c r="I13" s="66"/>
      <c r="J13" s="37"/>
      <c r="K13" s="37"/>
      <c r="L13" s="39"/>
    </row>
    <row r="14" spans="1:13">
      <c r="A14" s="33" t="s">
        <v>32</v>
      </c>
      <c r="B14" s="34" t="s">
        <v>978</v>
      </c>
      <c r="C14" s="35" t="s">
        <v>29</v>
      </c>
      <c r="D14" s="64">
        <v>260</v>
      </c>
      <c r="E14" s="36"/>
      <c r="F14" s="36">
        <f>Tabela55[[#This Row],[Ilość]]*Tabela55[[#This Row],[C.j. netto]]</f>
        <v>0</v>
      </c>
      <c r="G14" s="37"/>
      <c r="H14" s="38"/>
      <c r="I14" s="66"/>
      <c r="J14" s="37"/>
      <c r="K14" s="37"/>
      <c r="L14" s="39"/>
    </row>
    <row r="15" spans="1:13" ht="25.5">
      <c r="A15" s="33" t="s">
        <v>34</v>
      </c>
      <c r="B15" s="34" t="s">
        <v>979</v>
      </c>
      <c r="C15" s="35" t="s">
        <v>29</v>
      </c>
      <c r="D15" s="64">
        <v>30</v>
      </c>
      <c r="E15" s="36"/>
      <c r="F15" s="36">
        <f>Tabela55[[#This Row],[Ilość]]*Tabela55[[#This Row],[C.j. netto]]</f>
        <v>0</v>
      </c>
      <c r="G15" s="37"/>
      <c r="H15" s="38"/>
      <c r="I15" s="66"/>
      <c r="J15" s="37"/>
      <c r="K15" s="37"/>
      <c r="L15" s="39"/>
    </row>
    <row r="16" spans="1:13">
      <c r="A16" s="13" t="s">
        <v>118</v>
      </c>
      <c r="B16" s="14"/>
      <c r="C16" s="26"/>
      <c r="D16" s="26"/>
      <c r="E16" s="15"/>
      <c r="F16" s="31">
        <f>SUBTOTAL(109,Tabela55[Wartość netto])</f>
        <v>0</v>
      </c>
      <c r="G16" s="15"/>
      <c r="H16" s="26"/>
      <c r="I16" s="15"/>
      <c r="J16" s="15"/>
      <c r="K16" s="15"/>
      <c r="L16" s="16"/>
    </row>
    <row r="19" spans="1:12" ht="30">
      <c r="A19" s="10" t="s">
        <v>115</v>
      </c>
      <c r="B19" s="5"/>
    </row>
    <row r="20" spans="1:12" ht="15">
      <c r="A20" s="11" t="s">
        <v>116</v>
      </c>
      <c r="B20" s="5"/>
      <c r="L20" s="17"/>
    </row>
    <row r="21" spans="1:12" ht="15">
      <c r="A21" s="11" t="s">
        <v>117</v>
      </c>
      <c r="B21" s="5"/>
      <c r="L21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56D9E-91D9-432B-8267-E316213C744E}">
  <sheetPr>
    <pageSetUpPr fitToPage="1"/>
  </sheetPr>
  <dimension ref="A1:M48"/>
  <sheetViews>
    <sheetView workbookViewId="0">
      <selection activeCell="F17" sqref="F17"/>
    </sheetView>
    <sheetView workbookViewId="1"/>
    <sheetView workbookViewId="2">
      <selection activeCell="F31" sqref="F31"/>
    </sheetView>
  </sheetViews>
  <sheetFormatPr defaultRowHeight="14.25"/>
  <cols>
    <col min="1" max="1" width="14.125" customWidth="1"/>
    <col min="2" max="2" width="52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862</v>
      </c>
      <c r="B1" s="5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80" t="s">
        <v>4</v>
      </c>
      <c r="B9" s="34" t="s">
        <v>1348</v>
      </c>
      <c r="C9" s="111" t="s">
        <v>29</v>
      </c>
      <c r="D9" s="35">
        <v>5</v>
      </c>
      <c r="E9" s="261">
        <v>11.11</v>
      </c>
      <c r="F9" s="262">
        <f>Tabela56[[#This Row],[Ilość]]*Tabela56[[#This Row],[C.j. netto]]</f>
        <v>55.55</v>
      </c>
      <c r="G9" s="37"/>
      <c r="H9" s="132"/>
      <c r="I9" s="37"/>
      <c r="J9" s="37"/>
      <c r="K9" s="37"/>
      <c r="L9" s="39"/>
    </row>
    <row r="10" spans="1:13">
      <c r="A10" s="80" t="s">
        <v>5</v>
      </c>
      <c r="B10" s="34" t="s">
        <v>1039</v>
      </c>
      <c r="C10" s="111" t="s">
        <v>29</v>
      </c>
      <c r="D10" s="35">
        <v>10</v>
      </c>
      <c r="E10" s="261">
        <v>150</v>
      </c>
      <c r="F10" s="262">
        <f>Tabela56[[#This Row],[Ilość]]*Tabela56[[#This Row],[C.j. netto]]</f>
        <v>1500</v>
      </c>
      <c r="G10" s="37"/>
      <c r="H10" s="132"/>
      <c r="I10" s="37"/>
      <c r="J10" s="37"/>
      <c r="K10" s="37"/>
      <c r="L10" s="39"/>
    </row>
    <row r="11" spans="1:13">
      <c r="A11" s="80" t="s">
        <v>6</v>
      </c>
      <c r="B11" s="34" t="s">
        <v>1347</v>
      </c>
      <c r="C11" s="111" t="s">
        <v>29</v>
      </c>
      <c r="D11" s="35">
        <v>5</v>
      </c>
      <c r="E11" s="261">
        <v>3600</v>
      </c>
      <c r="F11" s="262">
        <f>Tabela56[[#This Row],[Ilość]]*Tabela56[[#This Row],[C.j. netto]]</f>
        <v>18000</v>
      </c>
      <c r="G11" s="37"/>
      <c r="H11" s="132"/>
      <c r="I11" s="37"/>
      <c r="J11" s="37"/>
      <c r="K11" s="37"/>
      <c r="L11" s="39"/>
    </row>
    <row r="12" spans="1:13">
      <c r="A12" s="80" t="s">
        <v>26</v>
      </c>
      <c r="B12" s="34" t="s">
        <v>1341</v>
      </c>
      <c r="C12" s="111" t="s">
        <v>29</v>
      </c>
      <c r="D12" s="35">
        <v>5</v>
      </c>
      <c r="E12" s="261">
        <v>900</v>
      </c>
      <c r="F12" s="262">
        <f>Tabela56[[#This Row],[Ilość]]*Tabela56[[#This Row],[C.j. netto]]</f>
        <v>4500</v>
      </c>
      <c r="G12" s="37"/>
      <c r="H12" s="132"/>
      <c r="I12" s="37"/>
      <c r="J12" s="37"/>
      <c r="K12" s="37"/>
      <c r="L12" s="39"/>
    </row>
    <row r="13" spans="1:13">
      <c r="A13" s="80" t="s">
        <v>27</v>
      </c>
      <c r="B13" s="34" t="s">
        <v>1040</v>
      </c>
      <c r="C13" s="111" t="s">
        <v>1041</v>
      </c>
      <c r="D13" s="35">
        <v>3</v>
      </c>
      <c r="E13" s="261">
        <v>260</v>
      </c>
      <c r="F13" s="262">
        <f>Tabela56[[#This Row],[Ilość]]*Tabela56[[#This Row],[C.j. netto]]</f>
        <v>780</v>
      </c>
      <c r="G13" s="37"/>
      <c r="H13" s="132"/>
      <c r="I13" s="37"/>
      <c r="J13" s="37"/>
      <c r="K13" s="37"/>
      <c r="L13" s="39"/>
    </row>
    <row r="14" spans="1:13">
      <c r="A14" s="80" t="s">
        <v>32</v>
      </c>
      <c r="B14" s="34" t="s">
        <v>1042</v>
      </c>
      <c r="C14" s="111" t="s">
        <v>1041</v>
      </c>
      <c r="D14" s="35">
        <v>20</v>
      </c>
      <c r="E14" s="261">
        <v>120</v>
      </c>
      <c r="F14" s="262">
        <f>Tabela56[[#This Row],[Ilość]]*Tabela56[[#This Row],[C.j. netto]]</f>
        <v>2400</v>
      </c>
      <c r="G14" s="37"/>
      <c r="H14" s="132"/>
      <c r="I14" s="66"/>
      <c r="J14" s="37"/>
      <c r="K14" s="37"/>
      <c r="L14" s="39"/>
    </row>
    <row r="15" spans="1:13">
      <c r="A15" s="80" t="s">
        <v>34</v>
      </c>
      <c r="B15" s="34" t="s">
        <v>1043</v>
      </c>
      <c r="C15" s="111" t="s">
        <v>1041</v>
      </c>
      <c r="D15" s="35">
        <v>15</v>
      </c>
      <c r="E15" s="261">
        <v>120</v>
      </c>
      <c r="F15" s="262">
        <f>Tabela56[[#This Row],[Ilość]]*Tabela56[[#This Row],[C.j. netto]]</f>
        <v>1800</v>
      </c>
      <c r="G15" s="37"/>
      <c r="H15" s="132"/>
      <c r="I15" s="37"/>
      <c r="J15" s="37"/>
      <c r="K15" s="37"/>
      <c r="L15" s="39"/>
    </row>
    <row r="16" spans="1:13">
      <c r="A16" s="80" t="s">
        <v>36</v>
      </c>
      <c r="B16" s="34" t="s">
        <v>1342</v>
      </c>
      <c r="C16" s="111" t="s">
        <v>16</v>
      </c>
      <c r="D16" s="35">
        <v>30</v>
      </c>
      <c r="E16" s="261">
        <v>100</v>
      </c>
      <c r="F16" s="262">
        <f>Tabela56[[#This Row],[Ilość]]*Tabela56[[#This Row],[C.j. netto]]</f>
        <v>3000</v>
      </c>
      <c r="G16" s="37"/>
      <c r="H16" s="132"/>
      <c r="I16" s="66"/>
      <c r="J16" s="37"/>
      <c r="K16" s="37"/>
      <c r="L16" s="39"/>
    </row>
    <row r="17" spans="1:12">
      <c r="A17" s="80" t="s">
        <v>38</v>
      </c>
      <c r="B17" s="34" t="s">
        <v>1044</v>
      </c>
      <c r="C17" s="111" t="s">
        <v>29</v>
      </c>
      <c r="D17" s="35">
        <v>3</v>
      </c>
      <c r="E17" s="261">
        <v>694.44</v>
      </c>
      <c r="F17" s="262">
        <f>Tabela56[[#This Row],[Ilość]]*Tabela56[[#This Row],[C.j. netto]]</f>
        <v>2083.3200000000002</v>
      </c>
      <c r="G17" s="37"/>
      <c r="H17" s="132"/>
      <c r="I17" s="37"/>
      <c r="J17" s="37"/>
      <c r="K17" s="37"/>
      <c r="L17" s="39"/>
    </row>
    <row r="18" spans="1:12">
      <c r="A18" s="80" t="s">
        <v>40</v>
      </c>
      <c r="B18" s="34" t="s">
        <v>1345</v>
      </c>
      <c r="C18" s="111" t="s">
        <v>29</v>
      </c>
      <c r="D18" s="35">
        <v>5</v>
      </c>
      <c r="E18" s="261">
        <v>52</v>
      </c>
      <c r="F18" s="262">
        <f>Tabela56[[#This Row],[Ilość]]*Tabela56[[#This Row],[C.j. netto]]</f>
        <v>260</v>
      </c>
      <c r="G18" s="37"/>
      <c r="H18" s="132"/>
      <c r="I18" s="37"/>
      <c r="J18" s="37"/>
      <c r="K18" s="37"/>
      <c r="L18" s="39"/>
    </row>
    <row r="19" spans="1:12">
      <c r="A19" s="80" t="s">
        <v>42</v>
      </c>
      <c r="B19" s="34" t="s">
        <v>1343</v>
      </c>
      <c r="C19" s="111" t="s">
        <v>29</v>
      </c>
      <c r="D19" s="35">
        <v>12</v>
      </c>
      <c r="E19" s="261">
        <v>220</v>
      </c>
      <c r="F19" s="262">
        <f>Tabela56[[#This Row],[Ilość]]*Tabela56[[#This Row],[C.j. netto]]</f>
        <v>2640</v>
      </c>
      <c r="G19" s="37"/>
      <c r="H19" s="132"/>
      <c r="I19" s="37"/>
      <c r="J19" s="37"/>
      <c r="K19" s="37"/>
      <c r="L19" s="39"/>
    </row>
    <row r="20" spans="1:12">
      <c r="A20" s="80" t="s">
        <v>45</v>
      </c>
      <c r="B20" s="34" t="s">
        <v>1046</v>
      </c>
      <c r="C20" s="111" t="s">
        <v>29</v>
      </c>
      <c r="D20" s="35">
        <v>5</v>
      </c>
      <c r="E20" s="261">
        <v>83.33</v>
      </c>
      <c r="F20" s="262">
        <f>Tabela56[[#This Row],[Ilość]]*Tabela56[[#This Row],[C.j. netto]]</f>
        <v>416.65</v>
      </c>
      <c r="G20" s="37"/>
      <c r="H20" s="132"/>
      <c r="I20" s="37"/>
      <c r="J20" s="37"/>
      <c r="K20" s="37"/>
      <c r="L20" s="39"/>
    </row>
    <row r="21" spans="1:12">
      <c r="A21" s="80" t="s">
        <v>47</v>
      </c>
      <c r="B21" s="34" t="s">
        <v>1047</v>
      </c>
      <c r="C21" s="111" t="s">
        <v>16</v>
      </c>
      <c r="D21" s="35">
        <v>10</v>
      </c>
      <c r="E21" s="261">
        <v>190</v>
      </c>
      <c r="F21" s="262">
        <f>Tabela56[[#This Row],[Ilość]]*Tabela56[[#This Row],[C.j. netto]]</f>
        <v>1900</v>
      </c>
      <c r="G21" s="37"/>
      <c r="H21" s="132"/>
      <c r="I21" s="37"/>
      <c r="J21" s="37"/>
      <c r="K21" s="37"/>
      <c r="L21" s="39"/>
    </row>
    <row r="22" spans="1:12">
      <c r="A22" s="80" t="s">
        <v>48</v>
      </c>
      <c r="B22" s="34" t="s">
        <v>1346</v>
      </c>
      <c r="C22" s="111" t="s">
        <v>16</v>
      </c>
      <c r="D22" s="35">
        <v>5</v>
      </c>
      <c r="E22" s="261">
        <v>20</v>
      </c>
      <c r="F22" s="262">
        <f>Tabela56[[#This Row],[Ilość]]*Tabela56[[#This Row],[C.j. netto]]</f>
        <v>100</v>
      </c>
      <c r="G22" s="37"/>
      <c r="H22" s="132"/>
      <c r="I22" s="37"/>
      <c r="J22" s="37"/>
      <c r="K22" s="37"/>
      <c r="L22" s="39"/>
    </row>
    <row r="23" spans="1:12">
      <c r="A23" s="80" t="s">
        <v>49</v>
      </c>
      <c r="B23" s="34" t="s">
        <v>1344</v>
      </c>
      <c r="C23" s="111" t="s">
        <v>29</v>
      </c>
      <c r="D23" s="35">
        <v>4</v>
      </c>
      <c r="E23" s="261">
        <v>1050</v>
      </c>
      <c r="F23" s="262">
        <f>Tabela56[[#This Row],[Ilość]]*Tabela56[[#This Row],[C.j. netto]]</f>
        <v>4200</v>
      </c>
      <c r="G23" s="37"/>
      <c r="H23" s="132"/>
      <c r="I23" s="66"/>
      <c r="J23" s="37"/>
      <c r="K23" s="37"/>
      <c r="L23" s="39"/>
    </row>
    <row r="24" spans="1:12">
      <c r="A24" s="80" t="s">
        <v>50</v>
      </c>
      <c r="B24" s="34" t="s">
        <v>1178</v>
      </c>
      <c r="C24" s="111" t="s">
        <v>29</v>
      </c>
      <c r="D24" s="35">
        <v>200</v>
      </c>
      <c r="E24" s="261">
        <v>90</v>
      </c>
      <c r="F24" s="262">
        <f>Tabela56[[#This Row],[Ilość]]*Tabela56[[#This Row],[C.j. netto]]</f>
        <v>18000</v>
      </c>
      <c r="G24" s="37"/>
      <c r="H24" s="132"/>
      <c r="I24" s="37"/>
      <c r="J24" s="37"/>
      <c r="K24" s="37"/>
      <c r="L24" s="39"/>
    </row>
    <row r="25" spans="1:12">
      <c r="A25" s="80" t="s">
        <v>52</v>
      </c>
      <c r="B25" s="34" t="s">
        <v>1048</v>
      </c>
      <c r="C25" s="111" t="s">
        <v>29</v>
      </c>
      <c r="D25" s="35">
        <v>120</v>
      </c>
      <c r="E25" s="261">
        <v>50.93</v>
      </c>
      <c r="F25" s="262">
        <f>Tabela56[[#This Row],[Ilość]]*Tabela56[[#This Row],[C.j. netto]]</f>
        <v>6111.6</v>
      </c>
      <c r="G25" s="37"/>
      <c r="H25" s="132"/>
      <c r="I25" s="66"/>
      <c r="J25" s="37"/>
      <c r="K25" s="37"/>
      <c r="L25" s="39"/>
    </row>
    <row r="26" spans="1:12">
      <c r="A26" s="80" t="s">
        <v>54</v>
      </c>
      <c r="B26" s="34" t="s">
        <v>1241</v>
      </c>
      <c r="C26" s="35" t="s">
        <v>29</v>
      </c>
      <c r="D26" s="64">
        <v>40</v>
      </c>
      <c r="E26" s="262">
        <v>390.24</v>
      </c>
      <c r="F26" s="131">
        <f>Tabela56[[#This Row],[Ilość]]*Tabela56[[#This Row],[C.j. netto]]</f>
        <v>15609.6</v>
      </c>
      <c r="G26" s="37"/>
      <c r="H26" s="132"/>
      <c r="I26" s="66"/>
      <c r="J26" s="37"/>
      <c r="K26" s="37"/>
      <c r="L26" s="39"/>
    </row>
    <row r="27" spans="1:12">
      <c r="A27" s="13" t="s">
        <v>118</v>
      </c>
      <c r="B27" s="14"/>
      <c r="C27" s="26"/>
      <c r="D27" s="26"/>
      <c r="E27" s="15"/>
      <c r="F27" s="31">
        <f>SUBTOTAL(109,Tabela56[Wartość netto])</f>
        <v>83356.720000000016</v>
      </c>
      <c r="G27" s="15"/>
      <c r="H27" s="26"/>
      <c r="I27" s="15"/>
      <c r="J27" s="15"/>
      <c r="K27" s="15"/>
      <c r="L27" s="16"/>
    </row>
    <row r="28" spans="1:12">
      <c r="A28" s="27"/>
      <c r="E28"/>
      <c r="F28" s="28"/>
      <c r="H28" s="24"/>
    </row>
    <row r="29" spans="1:12" ht="15">
      <c r="A29" s="230" t="s">
        <v>1338</v>
      </c>
      <c r="B29" s="59" t="s">
        <v>1361</v>
      </c>
      <c r="E29"/>
      <c r="F29" s="28"/>
      <c r="H29" s="24"/>
    </row>
    <row r="30" spans="1:12">
      <c r="A30" s="27"/>
      <c r="E30"/>
      <c r="F30" s="28"/>
      <c r="H30" s="24"/>
    </row>
    <row r="31" spans="1:12" ht="30">
      <c r="A31" s="10" t="s">
        <v>115</v>
      </c>
      <c r="B31" s="5"/>
    </row>
    <row r="32" spans="1:12" ht="15">
      <c r="A32" s="11" t="s">
        <v>116</v>
      </c>
      <c r="B32" s="5"/>
      <c r="L32" s="17"/>
    </row>
    <row r="33" spans="1:12" ht="15">
      <c r="A33" s="11" t="s">
        <v>117</v>
      </c>
      <c r="B33" s="5"/>
      <c r="L33" s="32" t="s">
        <v>119</v>
      </c>
    </row>
    <row r="45" spans="1:12" ht="18" customHeight="1"/>
    <row r="46" spans="1:12" ht="15.75" customHeight="1"/>
    <row r="47" spans="1:12" ht="17.25" customHeight="1"/>
    <row r="48" spans="1:12" ht="19.5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0" fitToHeight="0" orientation="landscape" r:id="rId1"/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D8D9-BEBF-409A-AA2E-DEF1FA412FBC}">
  <sheetPr>
    <pageSetUpPr fitToPage="1"/>
  </sheetPr>
  <dimension ref="A1:M70"/>
  <sheetViews>
    <sheetView workbookViewId="0"/>
    <sheetView workbookViewId="1"/>
    <sheetView workbookViewId="2">
      <selection activeCell="E9" sqref="E9:E65"/>
    </sheetView>
  </sheetViews>
  <sheetFormatPr defaultRowHeight="14.25"/>
  <cols>
    <col min="1" max="1" width="14.125" customWidth="1"/>
    <col min="2" max="2" width="52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874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80" t="s">
        <v>4</v>
      </c>
      <c r="B9" s="77" t="s">
        <v>982</v>
      </c>
      <c r="C9" s="64" t="s">
        <v>29</v>
      </c>
      <c r="D9" s="64">
        <v>70</v>
      </c>
      <c r="E9" s="75"/>
      <c r="F9" s="75">
        <f>Tabela57[[#This Row],[Ilość]]*Tabela57[[#This Row],[C.j. netto]]</f>
        <v>0</v>
      </c>
      <c r="G9" s="37"/>
      <c r="H9" s="38"/>
      <c r="I9" s="37"/>
      <c r="J9" s="37"/>
      <c r="K9" s="37"/>
      <c r="L9" s="39"/>
    </row>
    <row r="10" spans="1:13">
      <c r="A10" s="80" t="s">
        <v>5</v>
      </c>
      <c r="B10" s="77" t="s">
        <v>983</v>
      </c>
      <c r="C10" s="64" t="s">
        <v>29</v>
      </c>
      <c r="D10" s="64">
        <v>25</v>
      </c>
      <c r="E10" s="75"/>
      <c r="F10" s="75">
        <f>Tabela57[[#This Row],[Ilość]]*Tabela57[[#This Row],[C.j. netto]]</f>
        <v>0</v>
      </c>
      <c r="G10" s="37"/>
      <c r="H10" s="38"/>
      <c r="I10" s="66"/>
      <c r="J10" s="37"/>
      <c r="K10" s="37"/>
      <c r="L10" s="39"/>
    </row>
    <row r="11" spans="1:13">
      <c r="A11" s="80" t="s">
        <v>6</v>
      </c>
      <c r="B11" s="77" t="s">
        <v>984</v>
      </c>
      <c r="C11" s="64" t="s">
        <v>29</v>
      </c>
      <c r="D11" s="64">
        <v>14</v>
      </c>
      <c r="E11" s="75"/>
      <c r="F11" s="75">
        <f>Tabela57[[#This Row],[Ilość]]*Tabela57[[#This Row],[C.j. netto]]</f>
        <v>0</v>
      </c>
      <c r="G11" s="37"/>
      <c r="H11" s="38"/>
      <c r="I11" s="37"/>
      <c r="J11" s="37"/>
      <c r="K11" s="37"/>
      <c r="L11" s="39"/>
    </row>
    <row r="12" spans="1:13">
      <c r="A12" s="80" t="s">
        <v>26</v>
      </c>
      <c r="B12" s="77" t="s">
        <v>985</v>
      </c>
      <c r="C12" s="64" t="s">
        <v>106</v>
      </c>
      <c r="D12" s="64">
        <v>15</v>
      </c>
      <c r="E12" s="75"/>
      <c r="F12" s="75">
        <f>Tabela57[[#This Row],[Ilość]]*Tabela57[[#This Row],[C.j. netto]]</f>
        <v>0</v>
      </c>
      <c r="G12" s="37"/>
      <c r="H12" s="38"/>
      <c r="I12" s="37"/>
      <c r="J12" s="37"/>
      <c r="K12" s="37"/>
      <c r="L12" s="39"/>
    </row>
    <row r="13" spans="1:13">
      <c r="A13" s="80" t="s">
        <v>27</v>
      </c>
      <c r="B13" s="77" t="s">
        <v>986</v>
      </c>
      <c r="C13" s="64" t="s">
        <v>29</v>
      </c>
      <c r="D13" s="64">
        <v>25</v>
      </c>
      <c r="E13" s="75"/>
      <c r="F13" s="75">
        <f>Tabela57[[#This Row],[Ilość]]*Tabela57[[#This Row],[C.j. netto]]</f>
        <v>0</v>
      </c>
      <c r="G13" s="37"/>
      <c r="H13" s="38"/>
      <c r="I13" s="37"/>
      <c r="J13" s="37"/>
      <c r="K13" s="37"/>
      <c r="L13" s="39"/>
    </row>
    <row r="14" spans="1:13">
      <c r="A14" s="80" t="s">
        <v>32</v>
      </c>
      <c r="B14" s="77" t="s">
        <v>987</v>
      </c>
      <c r="C14" s="64" t="s">
        <v>29</v>
      </c>
      <c r="D14" s="64">
        <v>22</v>
      </c>
      <c r="E14" s="75"/>
      <c r="F14" s="75">
        <f>Tabela57[[#This Row],[Ilość]]*Tabela57[[#This Row],[C.j. netto]]</f>
        <v>0</v>
      </c>
      <c r="G14" s="37"/>
      <c r="H14" s="38"/>
      <c r="I14" s="37"/>
      <c r="J14" s="37"/>
      <c r="K14" s="37"/>
      <c r="L14" s="39"/>
    </row>
    <row r="15" spans="1:13">
      <c r="A15" s="80" t="s">
        <v>34</v>
      </c>
      <c r="B15" s="77" t="s">
        <v>988</v>
      </c>
      <c r="C15" s="64" t="s">
        <v>29</v>
      </c>
      <c r="D15" s="64">
        <v>10</v>
      </c>
      <c r="E15" s="75"/>
      <c r="F15" s="75">
        <f>Tabela57[[#This Row],[Ilość]]*Tabela57[[#This Row],[C.j. netto]]</f>
        <v>0</v>
      </c>
      <c r="G15" s="37"/>
      <c r="H15" s="38"/>
      <c r="I15" s="37"/>
      <c r="J15" s="37"/>
      <c r="K15" s="37"/>
      <c r="L15" s="39"/>
    </row>
    <row r="16" spans="1:13">
      <c r="A16" s="80" t="s">
        <v>36</v>
      </c>
      <c r="B16" s="77" t="s">
        <v>989</v>
      </c>
      <c r="C16" s="64" t="s">
        <v>29</v>
      </c>
      <c r="D16" s="64">
        <v>30</v>
      </c>
      <c r="E16" s="75"/>
      <c r="F16" s="75">
        <f>Tabela57[[#This Row],[Ilość]]*Tabela57[[#This Row],[C.j. netto]]</f>
        <v>0</v>
      </c>
      <c r="G16" s="37"/>
      <c r="H16" s="38"/>
      <c r="I16" s="37"/>
      <c r="J16" s="37"/>
      <c r="K16" s="37"/>
      <c r="L16" s="39"/>
    </row>
    <row r="17" spans="1:12" ht="25.5">
      <c r="A17" s="80" t="s">
        <v>38</v>
      </c>
      <c r="B17" s="77" t="s">
        <v>990</v>
      </c>
      <c r="C17" s="64" t="s">
        <v>29</v>
      </c>
      <c r="D17" s="64">
        <v>20</v>
      </c>
      <c r="E17" s="75"/>
      <c r="F17" s="75">
        <f>Tabela57[[#This Row],[Ilość]]*Tabela57[[#This Row],[C.j. netto]]</f>
        <v>0</v>
      </c>
      <c r="G17" s="37"/>
      <c r="H17" s="38"/>
      <c r="I17" s="37"/>
      <c r="J17" s="37"/>
      <c r="K17" s="37"/>
      <c r="L17" s="39"/>
    </row>
    <row r="18" spans="1:12">
      <c r="A18" s="80" t="s">
        <v>40</v>
      </c>
      <c r="B18" s="77" t="s">
        <v>991</v>
      </c>
      <c r="C18" s="64" t="s">
        <v>29</v>
      </c>
      <c r="D18" s="64">
        <v>15</v>
      </c>
      <c r="E18" s="75"/>
      <c r="F18" s="75">
        <f>Tabela57[[#This Row],[Ilość]]*Tabela57[[#This Row],[C.j. netto]]</f>
        <v>0</v>
      </c>
      <c r="G18" s="37"/>
      <c r="H18" s="38"/>
      <c r="I18" s="37"/>
      <c r="J18" s="37"/>
      <c r="K18" s="37"/>
      <c r="L18" s="39"/>
    </row>
    <row r="19" spans="1:12">
      <c r="A19" s="80" t="s">
        <v>42</v>
      </c>
      <c r="B19" s="77" t="s">
        <v>992</v>
      </c>
      <c r="C19" s="64" t="s">
        <v>29</v>
      </c>
      <c r="D19" s="64">
        <v>10</v>
      </c>
      <c r="E19" s="75"/>
      <c r="F19" s="75">
        <f>Tabela57[[#This Row],[Ilość]]*Tabela57[[#This Row],[C.j. netto]]</f>
        <v>0</v>
      </c>
      <c r="G19" s="37"/>
      <c r="H19" s="38"/>
      <c r="I19" s="66"/>
      <c r="J19" s="37"/>
      <c r="K19" s="37"/>
      <c r="L19" s="39"/>
    </row>
    <row r="20" spans="1:12">
      <c r="A20" s="80" t="s">
        <v>45</v>
      </c>
      <c r="B20" s="77" t="s">
        <v>993</v>
      </c>
      <c r="C20" s="64" t="s">
        <v>29</v>
      </c>
      <c r="D20" s="64">
        <v>30</v>
      </c>
      <c r="E20" s="75"/>
      <c r="F20" s="75">
        <f>Tabela57[[#This Row],[Ilość]]*Tabela57[[#This Row],[C.j. netto]]</f>
        <v>0</v>
      </c>
      <c r="G20" s="37"/>
      <c r="H20" s="38"/>
      <c r="I20" s="37"/>
      <c r="J20" s="37"/>
      <c r="K20" s="37"/>
      <c r="L20" s="39"/>
    </row>
    <row r="21" spans="1:12" ht="25.5">
      <c r="A21" s="80" t="s">
        <v>47</v>
      </c>
      <c r="B21" s="77" t="s">
        <v>994</v>
      </c>
      <c r="C21" s="64" t="s">
        <v>29</v>
      </c>
      <c r="D21" s="64">
        <v>50</v>
      </c>
      <c r="E21" s="75"/>
      <c r="F21" s="75">
        <f>Tabela57[[#This Row],[Ilość]]*Tabela57[[#This Row],[C.j. netto]]</f>
        <v>0</v>
      </c>
      <c r="G21" s="37"/>
      <c r="H21" s="38"/>
      <c r="I21" s="66"/>
      <c r="J21" s="37"/>
      <c r="K21" s="37"/>
      <c r="L21" s="39"/>
    </row>
    <row r="22" spans="1:12" ht="25.5">
      <c r="A22" s="80" t="s">
        <v>48</v>
      </c>
      <c r="B22" s="77" t="s">
        <v>1034</v>
      </c>
      <c r="C22" s="64" t="s">
        <v>29</v>
      </c>
      <c r="D22" s="64">
        <v>15</v>
      </c>
      <c r="E22" s="75"/>
      <c r="F22" s="75">
        <f>Tabela57[[#This Row],[Ilość]]*Tabela57[[#This Row],[C.j. netto]]</f>
        <v>0</v>
      </c>
      <c r="G22" s="37"/>
      <c r="H22" s="38"/>
      <c r="I22" s="37"/>
      <c r="J22" s="37"/>
      <c r="K22" s="37"/>
      <c r="L22" s="39"/>
    </row>
    <row r="23" spans="1:12">
      <c r="A23" s="80" t="s">
        <v>1320</v>
      </c>
      <c r="B23" s="77" t="s">
        <v>995</v>
      </c>
      <c r="C23" s="64" t="s">
        <v>29</v>
      </c>
      <c r="D23" s="64">
        <v>70</v>
      </c>
      <c r="E23" s="75"/>
      <c r="F23" s="75">
        <f>Tabela57[[#This Row],[Ilość]]*Tabela57[[#This Row],[C.j. netto]]</f>
        <v>0</v>
      </c>
      <c r="G23" s="37"/>
      <c r="H23" s="38"/>
      <c r="I23" s="37"/>
      <c r="J23" s="37"/>
      <c r="K23" s="37"/>
      <c r="L23" s="39"/>
    </row>
    <row r="24" spans="1:12">
      <c r="A24" s="80" t="s">
        <v>50</v>
      </c>
      <c r="B24" s="77" t="s">
        <v>996</v>
      </c>
      <c r="C24" s="64" t="s">
        <v>29</v>
      </c>
      <c r="D24" s="64">
        <v>25</v>
      </c>
      <c r="E24" s="75"/>
      <c r="F24" s="75">
        <f>Tabela57[[#This Row],[Ilość]]*Tabela57[[#This Row],[C.j. netto]]</f>
        <v>0</v>
      </c>
      <c r="G24" s="37"/>
      <c r="H24" s="38"/>
      <c r="I24" s="37"/>
      <c r="J24" s="37"/>
      <c r="K24" s="37"/>
      <c r="L24" s="39"/>
    </row>
    <row r="25" spans="1:12">
      <c r="A25" s="80" t="s">
        <v>52</v>
      </c>
      <c r="B25" s="77" t="s">
        <v>997</v>
      </c>
      <c r="C25" s="64" t="s">
        <v>29</v>
      </c>
      <c r="D25" s="64">
        <v>15</v>
      </c>
      <c r="E25" s="75"/>
      <c r="F25" s="75">
        <f>Tabela57[[#This Row],[Ilość]]*Tabela57[[#This Row],[C.j. netto]]</f>
        <v>0</v>
      </c>
      <c r="G25" s="37"/>
      <c r="H25" s="38"/>
      <c r="I25" s="37"/>
      <c r="J25" s="37"/>
      <c r="K25" s="37"/>
      <c r="L25" s="39"/>
    </row>
    <row r="26" spans="1:12">
      <c r="A26" s="80" t="s">
        <v>54</v>
      </c>
      <c r="B26" s="77" t="s">
        <v>998</v>
      </c>
      <c r="C26" s="64" t="s">
        <v>29</v>
      </c>
      <c r="D26" s="64">
        <v>120</v>
      </c>
      <c r="E26" s="75"/>
      <c r="F26" s="75">
        <f>Tabela57[[#This Row],[Ilość]]*Tabela57[[#This Row],[C.j. netto]]</f>
        <v>0</v>
      </c>
      <c r="G26" s="37"/>
      <c r="H26" s="38"/>
      <c r="I26" s="37"/>
      <c r="J26" s="37"/>
      <c r="K26" s="37"/>
      <c r="L26" s="39"/>
    </row>
    <row r="27" spans="1:12">
      <c r="A27" s="80" t="s">
        <v>56</v>
      </c>
      <c r="B27" s="77" t="s">
        <v>999</v>
      </c>
      <c r="C27" s="64" t="s">
        <v>29</v>
      </c>
      <c r="D27" s="64">
        <v>30</v>
      </c>
      <c r="E27" s="75"/>
      <c r="F27" s="75">
        <f>Tabela57[[#This Row],[Ilość]]*Tabela57[[#This Row],[C.j. netto]]</f>
        <v>0</v>
      </c>
      <c r="G27" s="37"/>
      <c r="H27" s="38"/>
      <c r="I27" s="37"/>
      <c r="J27" s="37"/>
      <c r="K27" s="37"/>
      <c r="L27" s="39"/>
    </row>
    <row r="28" spans="1:12">
      <c r="A28" s="80" t="s">
        <v>57</v>
      </c>
      <c r="B28" s="77" t="s">
        <v>1000</v>
      </c>
      <c r="C28" s="64" t="s">
        <v>29</v>
      </c>
      <c r="D28" s="64">
        <v>25</v>
      </c>
      <c r="E28" s="75"/>
      <c r="F28" s="75">
        <f>Tabela57[[#This Row],[Ilość]]*Tabela57[[#This Row],[C.j. netto]]</f>
        <v>0</v>
      </c>
      <c r="G28" s="37"/>
      <c r="H28" s="38"/>
      <c r="I28" s="37"/>
      <c r="J28" s="37"/>
      <c r="K28" s="37"/>
      <c r="L28" s="39"/>
    </row>
    <row r="29" spans="1:12">
      <c r="A29" s="80" t="s">
        <v>59</v>
      </c>
      <c r="B29" s="77" t="s">
        <v>1001</v>
      </c>
      <c r="C29" s="64" t="s">
        <v>29</v>
      </c>
      <c r="D29" s="64">
        <v>15</v>
      </c>
      <c r="E29" s="75"/>
      <c r="F29" s="75">
        <f>Tabela57[[#This Row],[Ilość]]*Tabela57[[#This Row],[C.j. netto]]</f>
        <v>0</v>
      </c>
      <c r="G29" s="37"/>
      <c r="H29" s="38"/>
      <c r="I29" s="66"/>
      <c r="J29" s="37"/>
      <c r="K29" s="37"/>
      <c r="L29" s="39"/>
    </row>
    <row r="30" spans="1:12">
      <c r="A30" s="80" t="s">
        <v>61</v>
      </c>
      <c r="B30" s="77" t="s">
        <v>1002</v>
      </c>
      <c r="C30" s="64" t="s">
        <v>29</v>
      </c>
      <c r="D30" s="64">
        <v>15</v>
      </c>
      <c r="E30" s="75"/>
      <c r="F30" s="75">
        <f>Tabela57[[#This Row],[Ilość]]*Tabela57[[#This Row],[C.j. netto]]</f>
        <v>0</v>
      </c>
      <c r="G30" s="37"/>
      <c r="H30" s="38"/>
      <c r="I30" s="66"/>
      <c r="J30" s="37"/>
      <c r="K30" s="37"/>
      <c r="L30" s="39"/>
    </row>
    <row r="31" spans="1:12">
      <c r="A31" s="80" t="s">
        <v>63</v>
      </c>
      <c r="B31" s="77" t="s">
        <v>1003</v>
      </c>
      <c r="C31" s="64" t="s">
        <v>415</v>
      </c>
      <c r="D31" s="64">
        <v>15</v>
      </c>
      <c r="E31" s="75"/>
      <c r="F31" s="75">
        <f>Tabela57[[#This Row],[Ilość]]*Tabela57[[#This Row],[C.j. netto]]</f>
        <v>0</v>
      </c>
      <c r="G31" s="37"/>
      <c r="H31" s="38"/>
      <c r="I31" s="66"/>
      <c r="J31" s="37"/>
      <c r="K31" s="37"/>
      <c r="L31" s="39"/>
    </row>
    <row r="32" spans="1:12">
      <c r="A32" s="80" t="s">
        <v>65</v>
      </c>
      <c r="B32" s="77" t="s">
        <v>1004</v>
      </c>
      <c r="C32" s="64" t="s">
        <v>29</v>
      </c>
      <c r="D32" s="64">
        <v>60</v>
      </c>
      <c r="E32" s="75"/>
      <c r="F32" s="75">
        <f>Tabela57[[#This Row],[Ilość]]*Tabela57[[#This Row],[C.j. netto]]</f>
        <v>0</v>
      </c>
      <c r="G32" s="37"/>
      <c r="H32" s="38"/>
      <c r="I32" s="37"/>
      <c r="J32" s="37"/>
      <c r="K32" s="37"/>
      <c r="L32" s="39"/>
    </row>
    <row r="33" spans="1:12">
      <c r="A33" s="80" t="s">
        <v>1327</v>
      </c>
      <c r="B33" s="77" t="s">
        <v>1005</v>
      </c>
      <c r="C33" s="64" t="s">
        <v>29</v>
      </c>
      <c r="D33" s="64">
        <v>45</v>
      </c>
      <c r="E33" s="75"/>
      <c r="F33" s="75">
        <f>Tabela57[[#This Row],[Ilość]]*Tabela57[[#This Row],[C.j. netto]]</f>
        <v>0</v>
      </c>
      <c r="G33" s="37"/>
      <c r="H33" s="38"/>
      <c r="I33" s="37"/>
      <c r="J33" s="37"/>
      <c r="K33" s="37"/>
      <c r="L33" s="39"/>
    </row>
    <row r="34" spans="1:12">
      <c r="A34" s="80" t="s">
        <v>69</v>
      </c>
      <c r="B34" s="77" t="s">
        <v>1006</v>
      </c>
      <c r="C34" s="64" t="s">
        <v>306</v>
      </c>
      <c r="D34" s="64">
        <v>35</v>
      </c>
      <c r="E34" s="75"/>
      <c r="F34" s="75">
        <f>Tabela57[[#This Row],[Ilość]]*Tabela57[[#This Row],[C.j. netto]]</f>
        <v>0</v>
      </c>
      <c r="G34" s="37"/>
      <c r="H34" s="38"/>
      <c r="I34" s="37"/>
      <c r="J34" s="37"/>
      <c r="K34" s="37"/>
      <c r="L34" s="39"/>
    </row>
    <row r="35" spans="1:12">
      <c r="A35" s="80" t="s">
        <v>71</v>
      </c>
      <c r="B35" s="77" t="s">
        <v>1007</v>
      </c>
      <c r="C35" s="64" t="s">
        <v>29</v>
      </c>
      <c r="D35" s="64">
        <v>22</v>
      </c>
      <c r="E35" s="75"/>
      <c r="F35" s="75">
        <f>Tabela57[[#This Row],[Ilość]]*Tabela57[[#This Row],[C.j. netto]]</f>
        <v>0</v>
      </c>
      <c r="G35" s="37"/>
      <c r="H35" s="38"/>
      <c r="I35" s="66"/>
      <c r="J35" s="37"/>
      <c r="K35" s="37"/>
      <c r="L35" s="39"/>
    </row>
    <row r="36" spans="1:12">
      <c r="A36" s="80" t="s">
        <v>73</v>
      </c>
      <c r="B36" s="77" t="s">
        <v>1008</v>
      </c>
      <c r="C36" s="64" t="s">
        <v>29</v>
      </c>
      <c r="D36" s="64">
        <v>40</v>
      </c>
      <c r="E36" s="75"/>
      <c r="F36" s="75">
        <f>Tabela57[[#This Row],[Ilość]]*Tabela57[[#This Row],[C.j. netto]]</f>
        <v>0</v>
      </c>
      <c r="G36" s="37"/>
      <c r="H36" s="38"/>
      <c r="I36" s="66"/>
      <c r="J36" s="37"/>
      <c r="K36" s="37"/>
      <c r="L36" s="39"/>
    </row>
    <row r="37" spans="1:12">
      <c r="A37" s="80" t="s">
        <v>75</v>
      </c>
      <c r="B37" s="77" t="s">
        <v>1009</v>
      </c>
      <c r="C37" s="64" t="s">
        <v>29</v>
      </c>
      <c r="D37" s="64">
        <v>60</v>
      </c>
      <c r="E37" s="75"/>
      <c r="F37" s="75">
        <f>Tabela57[[#This Row],[Ilość]]*Tabela57[[#This Row],[C.j. netto]]</f>
        <v>0</v>
      </c>
      <c r="G37" s="37"/>
      <c r="H37" s="38"/>
      <c r="I37" s="37"/>
      <c r="J37" s="37"/>
      <c r="K37" s="37"/>
      <c r="L37" s="39"/>
    </row>
    <row r="38" spans="1:12">
      <c r="A38" s="80" t="s">
        <v>77</v>
      </c>
      <c r="B38" s="77" t="s">
        <v>1010</v>
      </c>
      <c r="C38" s="64" t="s">
        <v>29</v>
      </c>
      <c r="D38" s="64">
        <v>12</v>
      </c>
      <c r="E38" s="75"/>
      <c r="F38" s="75">
        <f>Tabela57[[#This Row],[Ilość]]*Tabela57[[#This Row],[C.j. netto]]</f>
        <v>0</v>
      </c>
      <c r="G38" s="37"/>
      <c r="H38" s="38"/>
      <c r="I38" s="37"/>
      <c r="J38" s="37"/>
      <c r="K38" s="37"/>
      <c r="L38" s="39"/>
    </row>
    <row r="39" spans="1:12">
      <c r="A39" s="80" t="s">
        <v>79</v>
      </c>
      <c r="B39" s="77" t="s">
        <v>1011</v>
      </c>
      <c r="C39" s="64" t="s">
        <v>29</v>
      </c>
      <c r="D39" s="64">
        <v>38</v>
      </c>
      <c r="E39" s="75"/>
      <c r="F39" s="75">
        <f>Tabela57[[#This Row],[Ilość]]*Tabela57[[#This Row],[C.j. netto]]</f>
        <v>0</v>
      </c>
      <c r="G39" s="37"/>
      <c r="H39" s="38"/>
      <c r="I39" s="37"/>
      <c r="J39" s="37"/>
      <c r="K39" s="37"/>
      <c r="L39" s="39"/>
    </row>
    <row r="40" spans="1:12">
      <c r="A40" s="80" t="s">
        <v>81</v>
      </c>
      <c r="B40" s="77" t="s">
        <v>1012</v>
      </c>
      <c r="C40" s="64" t="s">
        <v>29</v>
      </c>
      <c r="D40" s="64">
        <v>25</v>
      </c>
      <c r="E40" s="75"/>
      <c r="F40" s="75">
        <f>Tabela57[[#This Row],[Ilość]]*Tabela57[[#This Row],[C.j. netto]]</f>
        <v>0</v>
      </c>
      <c r="G40" s="37"/>
      <c r="H40" s="38"/>
      <c r="I40" s="66"/>
      <c r="J40" s="37"/>
      <c r="K40" s="37"/>
      <c r="L40" s="39"/>
    </row>
    <row r="41" spans="1:12">
      <c r="A41" s="80" t="s">
        <v>83</v>
      </c>
      <c r="B41" s="77" t="s">
        <v>1013</v>
      </c>
      <c r="C41" s="64" t="s">
        <v>29</v>
      </c>
      <c r="D41" s="64">
        <v>90</v>
      </c>
      <c r="E41" s="75"/>
      <c r="F41" s="75">
        <f>Tabela57[[#This Row],[Ilość]]*Tabela57[[#This Row],[C.j. netto]]</f>
        <v>0</v>
      </c>
      <c r="G41" s="37"/>
      <c r="H41" s="38"/>
      <c r="I41" s="37"/>
      <c r="J41" s="37"/>
      <c r="K41" s="37"/>
      <c r="L41" s="39"/>
    </row>
    <row r="42" spans="1:12">
      <c r="A42" s="221" t="s">
        <v>84</v>
      </c>
      <c r="B42" s="81" t="s">
        <v>1014</v>
      </c>
      <c r="C42" s="67" t="s">
        <v>29</v>
      </c>
      <c r="D42" s="67">
        <v>10</v>
      </c>
      <c r="E42" s="82"/>
      <c r="F42" s="75">
        <f>Tabela57[[#This Row],[Ilość]]*Tabela57[[#This Row],[C.j. netto]]</f>
        <v>0</v>
      </c>
      <c r="G42" s="44"/>
      <c r="H42" s="45"/>
      <c r="I42" s="44"/>
      <c r="J42" s="44"/>
      <c r="K42" s="44"/>
      <c r="L42" s="46"/>
    </row>
    <row r="43" spans="1:12">
      <c r="A43" s="76" t="s">
        <v>86</v>
      </c>
      <c r="B43" s="77" t="s">
        <v>1015</v>
      </c>
      <c r="C43" s="64" t="s">
        <v>29</v>
      </c>
      <c r="D43" s="64">
        <v>5</v>
      </c>
      <c r="E43" s="75"/>
      <c r="F43" s="75">
        <f>Tabela57[[#This Row],[Ilość]]*Tabela57[[#This Row],[C.j. netto]]</f>
        <v>0</v>
      </c>
      <c r="G43" s="37"/>
      <c r="H43" s="38"/>
      <c r="I43" s="37"/>
      <c r="J43" s="37"/>
      <c r="K43" s="37"/>
      <c r="L43" s="39"/>
    </row>
    <row r="44" spans="1:12">
      <c r="A44" s="76" t="s">
        <v>88</v>
      </c>
      <c r="B44" s="77" t="s">
        <v>1016</v>
      </c>
      <c r="C44" s="64" t="s">
        <v>29</v>
      </c>
      <c r="D44" s="64">
        <v>8</v>
      </c>
      <c r="E44" s="75"/>
      <c r="F44" s="75">
        <f>Tabela57[[#This Row],[Ilość]]*Tabela57[[#This Row],[C.j. netto]]</f>
        <v>0</v>
      </c>
      <c r="G44" s="37"/>
      <c r="H44" s="38"/>
      <c r="I44" s="66"/>
      <c r="J44" s="37"/>
      <c r="K44" s="37"/>
      <c r="L44" s="39"/>
    </row>
    <row r="45" spans="1:12">
      <c r="A45" s="76" t="s">
        <v>89</v>
      </c>
      <c r="B45" s="77" t="s">
        <v>1017</v>
      </c>
      <c r="C45" s="64" t="s">
        <v>29</v>
      </c>
      <c r="D45" s="64">
        <v>5</v>
      </c>
      <c r="E45" s="75"/>
      <c r="F45" s="75">
        <f>Tabela57[[#This Row],[Ilość]]*Tabela57[[#This Row],[C.j. netto]]</f>
        <v>0</v>
      </c>
      <c r="G45" s="37"/>
      <c r="H45" s="38"/>
      <c r="I45" s="37"/>
      <c r="J45" s="37"/>
      <c r="K45" s="37"/>
      <c r="L45" s="39"/>
    </row>
    <row r="46" spans="1:12">
      <c r="A46" s="76" t="s">
        <v>90</v>
      </c>
      <c r="B46" s="77" t="s">
        <v>1018</v>
      </c>
      <c r="C46" s="64" t="s">
        <v>29</v>
      </c>
      <c r="D46" s="64">
        <v>15</v>
      </c>
      <c r="E46" s="75"/>
      <c r="F46" s="75">
        <f>Tabela57[[#This Row],[Ilość]]*Tabela57[[#This Row],[C.j. netto]]</f>
        <v>0</v>
      </c>
      <c r="G46" s="37"/>
      <c r="H46" s="38"/>
      <c r="I46" s="37"/>
      <c r="J46" s="37"/>
      <c r="K46" s="37"/>
      <c r="L46" s="39"/>
    </row>
    <row r="47" spans="1:12" ht="25.5">
      <c r="A47" s="76" t="s">
        <v>1328</v>
      </c>
      <c r="B47" s="77" t="s">
        <v>1019</v>
      </c>
      <c r="C47" s="64" t="s">
        <v>1020</v>
      </c>
      <c r="D47" s="64">
        <v>8</v>
      </c>
      <c r="E47" s="75"/>
      <c r="F47" s="75">
        <f>Tabela57[[#This Row],[Ilość]]*Tabela57[[#This Row],[C.j. netto]]</f>
        <v>0</v>
      </c>
      <c r="G47" s="37"/>
      <c r="H47" s="38"/>
      <c r="I47" s="37"/>
      <c r="J47" s="37"/>
      <c r="K47" s="37"/>
      <c r="L47" s="39"/>
    </row>
    <row r="48" spans="1:12" ht="25.5">
      <c r="A48" s="76" t="s">
        <v>94</v>
      </c>
      <c r="B48" s="77" t="s">
        <v>1021</v>
      </c>
      <c r="C48" s="64" t="s">
        <v>1020</v>
      </c>
      <c r="D48" s="64">
        <v>8</v>
      </c>
      <c r="E48" s="75"/>
      <c r="F48" s="75">
        <f>Tabela57[[#This Row],[Ilość]]*Tabela57[[#This Row],[C.j. netto]]</f>
        <v>0</v>
      </c>
      <c r="G48" s="37"/>
      <c r="H48" s="38"/>
      <c r="I48" s="37"/>
      <c r="J48" s="37"/>
      <c r="K48" s="37"/>
      <c r="L48" s="39"/>
    </row>
    <row r="49" spans="1:12" ht="25.5">
      <c r="A49" s="76" t="s">
        <v>1329</v>
      </c>
      <c r="B49" s="77" t="s">
        <v>1022</v>
      </c>
      <c r="C49" s="64" t="s">
        <v>1020</v>
      </c>
      <c r="D49" s="64">
        <v>10</v>
      </c>
      <c r="E49" s="75"/>
      <c r="F49" s="75">
        <f>Tabela57[[#This Row],[Ilość]]*Tabela57[[#This Row],[C.j. netto]]</f>
        <v>0</v>
      </c>
      <c r="G49" s="37"/>
      <c r="H49" s="38"/>
      <c r="I49" s="37"/>
      <c r="J49" s="37"/>
      <c r="K49" s="37"/>
      <c r="L49" s="39"/>
    </row>
    <row r="50" spans="1:12">
      <c r="A50" s="76" t="s">
        <v>98</v>
      </c>
      <c r="B50" s="77" t="s">
        <v>1023</v>
      </c>
      <c r="C50" s="64" t="s">
        <v>29</v>
      </c>
      <c r="D50" s="64">
        <v>40</v>
      </c>
      <c r="E50" s="75"/>
      <c r="F50" s="75">
        <f>Tabela57[[#This Row],[Ilość]]*Tabela57[[#This Row],[C.j. netto]]</f>
        <v>0</v>
      </c>
      <c r="G50" s="37"/>
      <c r="H50" s="38"/>
      <c r="I50" s="37"/>
      <c r="J50" s="37"/>
      <c r="K50" s="37"/>
      <c r="L50" s="39"/>
    </row>
    <row r="51" spans="1:12" ht="25.5">
      <c r="A51" s="76" t="s">
        <v>100</v>
      </c>
      <c r="B51" s="77" t="s">
        <v>1024</v>
      </c>
      <c r="C51" s="64" t="s">
        <v>29</v>
      </c>
      <c r="D51" s="64">
        <v>60</v>
      </c>
      <c r="E51" s="75"/>
      <c r="F51" s="75">
        <f>Tabela57[[#This Row],[Ilość]]*Tabela57[[#This Row],[C.j. netto]]</f>
        <v>0</v>
      </c>
      <c r="G51" s="37"/>
      <c r="H51" s="38"/>
      <c r="I51" s="66"/>
      <c r="J51" s="37"/>
      <c r="K51" s="37"/>
      <c r="L51" s="39"/>
    </row>
    <row r="52" spans="1:12" ht="25.5">
      <c r="A52" s="76" t="s">
        <v>102</v>
      </c>
      <c r="B52" s="77" t="s">
        <v>1025</v>
      </c>
      <c r="C52" s="64" t="s">
        <v>29</v>
      </c>
      <c r="D52" s="64">
        <v>10</v>
      </c>
      <c r="E52" s="75"/>
      <c r="F52" s="75">
        <f>Tabela57[[#This Row],[Ilość]]*Tabela57[[#This Row],[C.j. netto]]</f>
        <v>0</v>
      </c>
      <c r="G52" s="37"/>
      <c r="H52" s="38"/>
      <c r="I52" s="37"/>
      <c r="J52" s="37"/>
      <c r="K52" s="37"/>
      <c r="L52" s="39"/>
    </row>
    <row r="53" spans="1:12" ht="25.5">
      <c r="A53" s="76" t="s">
        <v>104</v>
      </c>
      <c r="B53" s="77" t="s">
        <v>1026</v>
      </c>
      <c r="C53" s="64" t="s">
        <v>29</v>
      </c>
      <c r="D53" s="64">
        <v>10</v>
      </c>
      <c r="E53" s="75"/>
      <c r="F53" s="75">
        <f>Tabela57[[#This Row],[Ilość]]*Tabela57[[#This Row],[C.j. netto]]</f>
        <v>0</v>
      </c>
      <c r="G53" s="37"/>
      <c r="H53" s="38"/>
      <c r="I53" s="37"/>
      <c r="J53" s="37"/>
      <c r="K53" s="37"/>
      <c r="L53" s="39"/>
    </row>
    <row r="54" spans="1:12">
      <c r="A54" s="76" t="s">
        <v>105</v>
      </c>
      <c r="B54" s="77" t="s">
        <v>1027</v>
      </c>
      <c r="C54" s="64" t="s">
        <v>29</v>
      </c>
      <c r="D54" s="64">
        <v>5</v>
      </c>
      <c r="E54" s="75"/>
      <c r="F54" s="75">
        <f>Tabela57[[#This Row],[Ilość]]*Tabela57[[#This Row],[C.j. netto]]</f>
        <v>0</v>
      </c>
      <c r="G54" s="37"/>
      <c r="H54" s="38"/>
      <c r="I54" s="66"/>
      <c r="J54" s="37"/>
      <c r="K54" s="37"/>
      <c r="L54" s="39"/>
    </row>
    <row r="55" spans="1:12">
      <c r="A55" s="76" t="s">
        <v>331</v>
      </c>
      <c r="B55" s="77" t="s">
        <v>1028</v>
      </c>
      <c r="C55" s="64" t="s">
        <v>29</v>
      </c>
      <c r="D55" s="64">
        <v>5</v>
      </c>
      <c r="E55" s="75"/>
      <c r="F55" s="75">
        <f>Tabela57[[#This Row],[Ilość]]*Tabela57[[#This Row],[C.j. netto]]</f>
        <v>0</v>
      </c>
      <c r="G55" s="37"/>
      <c r="H55" s="38"/>
      <c r="I55" s="37"/>
      <c r="J55" s="37"/>
      <c r="K55" s="37"/>
      <c r="L55" s="39"/>
    </row>
    <row r="56" spans="1:12">
      <c r="A56" s="76" t="s">
        <v>333</v>
      </c>
      <c r="B56" s="77" t="s">
        <v>1029</v>
      </c>
      <c r="C56" s="64" t="s">
        <v>29</v>
      </c>
      <c r="D56" s="64">
        <v>5</v>
      </c>
      <c r="E56" s="75"/>
      <c r="F56" s="75">
        <f>Tabela57[[#This Row],[Ilość]]*Tabela57[[#This Row],[C.j. netto]]</f>
        <v>0</v>
      </c>
      <c r="G56" s="37"/>
      <c r="H56" s="38"/>
      <c r="I56" s="37"/>
      <c r="J56" s="37"/>
      <c r="K56" s="37"/>
      <c r="L56" s="39"/>
    </row>
    <row r="57" spans="1:12">
      <c r="A57" s="76" t="s">
        <v>335</v>
      </c>
      <c r="B57" s="77" t="s">
        <v>1030</v>
      </c>
      <c r="C57" s="64" t="s">
        <v>29</v>
      </c>
      <c r="D57" s="64">
        <v>10</v>
      </c>
      <c r="E57" s="75"/>
      <c r="F57" s="75">
        <f>Tabela57[[#This Row],[Ilość]]*Tabela57[[#This Row],[C.j. netto]]</f>
        <v>0</v>
      </c>
      <c r="G57" s="37"/>
      <c r="H57" s="38"/>
      <c r="I57" s="66"/>
      <c r="J57" s="37"/>
      <c r="K57" s="37"/>
      <c r="L57" s="39"/>
    </row>
    <row r="58" spans="1:12">
      <c r="A58" s="76" t="s">
        <v>337</v>
      </c>
      <c r="B58" s="77" t="s">
        <v>1031</v>
      </c>
      <c r="C58" s="64" t="s">
        <v>29</v>
      </c>
      <c r="D58" s="64">
        <v>22</v>
      </c>
      <c r="E58" s="75"/>
      <c r="F58" s="75">
        <f>Tabela57[[#This Row],[Ilość]]*Tabela57[[#This Row],[C.j. netto]]</f>
        <v>0</v>
      </c>
      <c r="G58" s="37"/>
      <c r="H58" s="38"/>
      <c r="I58" s="37"/>
      <c r="J58" s="37"/>
      <c r="K58" s="37"/>
      <c r="L58" s="39"/>
    </row>
    <row r="59" spans="1:12">
      <c r="A59" s="76" t="s">
        <v>339</v>
      </c>
      <c r="B59" s="77" t="s">
        <v>1032</v>
      </c>
      <c r="C59" s="64" t="s">
        <v>29</v>
      </c>
      <c r="D59" s="64">
        <v>30</v>
      </c>
      <c r="E59" s="75"/>
      <c r="F59" s="75">
        <f>Tabela57[[#This Row],[Ilość]]*Tabela57[[#This Row],[C.j. netto]]</f>
        <v>0</v>
      </c>
      <c r="G59" s="37"/>
      <c r="H59" s="38"/>
      <c r="I59" s="37"/>
      <c r="J59" s="37"/>
      <c r="K59" s="37"/>
      <c r="L59" s="39"/>
    </row>
    <row r="60" spans="1:12" ht="25.5">
      <c r="A60" s="76" t="s">
        <v>341</v>
      </c>
      <c r="B60" s="34" t="s">
        <v>1142</v>
      </c>
      <c r="C60" s="64" t="s">
        <v>29</v>
      </c>
      <c r="D60" s="64">
        <v>25</v>
      </c>
      <c r="E60" s="75"/>
      <c r="F60" s="75">
        <f>Tabela57[[#This Row],[Ilość]]*Tabela57[[#This Row],[C.j. netto]]</f>
        <v>0</v>
      </c>
      <c r="G60" s="37"/>
      <c r="H60" s="38"/>
      <c r="I60" s="37"/>
      <c r="J60" s="37"/>
      <c r="K60" s="37"/>
      <c r="L60" s="39"/>
    </row>
    <row r="61" spans="1:12">
      <c r="A61" s="76" t="s">
        <v>1330</v>
      </c>
      <c r="B61" s="34" t="s">
        <v>1143</v>
      </c>
      <c r="C61" s="64" t="s">
        <v>29</v>
      </c>
      <c r="D61" s="64">
        <v>15</v>
      </c>
      <c r="E61" s="75"/>
      <c r="F61" s="75">
        <f>Tabela57[[#This Row],[Ilość]]*Tabela57[[#This Row],[C.j. netto]]</f>
        <v>0</v>
      </c>
      <c r="G61" s="37"/>
      <c r="H61" s="38"/>
      <c r="I61" s="37"/>
      <c r="J61" s="37"/>
      <c r="K61" s="37"/>
      <c r="L61" s="37"/>
    </row>
    <row r="62" spans="1:12">
      <c r="A62" s="76" t="s">
        <v>1331</v>
      </c>
      <c r="B62" s="34" t="s">
        <v>1144</v>
      </c>
      <c r="C62" s="64" t="s">
        <v>29</v>
      </c>
      <c r="D62" s="64">
        <v>15</v>
      </c>
      <c r="E62" s="75"/>
      <c r="F62" s="75">
        <f>Tabela57[[#This Row],[Ilość]]*Tabela57[[#This Row],[C.j. netto]]</f>
        <v>0</v>
      </c>
      <c r="G62" s="12"/>
      <c r="H62" s="69"/>
      <c r="I62" s="12"/>
      <c r="J62" s="37"/>
      <c r="K62" s="37"/>
      <c r="L62" s="37"/>
    </row>
    <row r="63" spans="1:12">
      <c r="A63" s="76" t="s">
        <v>346</v>
      </c>
      <c r="B63" s="34" t="s">
        <v>1145</v>
      </c>
      <c r="C63" s="64" t="s">
        <v>415</v>
      </c>
      <c r="D63" s="64">
        <v>30</v>
      </c>
      <c r="E63" s="79"/>
      <c r="F63" s="75">
        <f>Tabela57[[#This Row],[Ilość]]*Tabela57[[#This Row],[C.j. netto]]</f>
        <v>0</v>
      </c>
      <c r="G63" s="12"/>
      <c r="H63" s="71"/>
      <c r="I63" s="72"/>
      <c r="J63" s="37"/>
      <c r="K63" s="37"/>
      <c r="L63" s="37"/>
    </row>
    <row r="64" spans="1:12">
      <c r="A64" s="76" t="s">
        <v>348</v>
      </c>
      <c r="B64" s="34" t="s">
        <v>1146</v>
      </c>
      <c r="C64" s="64" t="s">
        <v>29</v>
      </c>
      <c r="D64" s="64">
        <v>5</v>
      </c>
      <c r="E64" s="79"/>
      <c r="F64" s="75">
        <f>Tabela57[[#This Row],[Ilość]]*Tabela57[[#This Row],[C.j. netto]]</f>
        <v>0</v>
      </c>
      <c r="G64" s="12"/>
      <c r="H64" s="71"/>
      <c r="I64" s="12"/>
      <c r="J64" s="37"/>
      <c r="K64" s="37"/>
      <c r="L64" s="37"/>
    </row>
    <row r="65" spans="1:12">
      <c r="A65" s="76" t="s">
        <v>350</v>
      </c>
      <c r="B65" s="77" t="s">
        <v>1033</v>
      </c>
      <c r="C65" s="64" t="s">
        <v>29</v>
      </c>
      <c r="D65" s="64">
        <v>20</v>
      </c>
      <c r="E65" s="79"/>
      <c r="F65" s="75">
        <f>Tabela57[[#This Row],[Ilość]]*Tabela57[[#This Row],[C.j. netto]]</f>
        <v>0</v>
      </c>
      <c r="G65" s="12"/>
      <c r="H65" s="71"/>
      <c r="I65" s="12"/>
      <c r="J65" s="37"/>
      <c r="K65" s="37"/>
      <c r="L65" s="37"/>
    </row>
    <row r="66" spans="1:12">
      <c r="A66" s="13" t="s">
        <v>118</v>
      </c>
      <c r="B66" s="14"/>
      <c r="C66" s="26"/>
      <c r="D66" s="26"/>
      <c r="E66" s="15"/>
      <c r="F66" s="31">
        <f>SUBTOTAL(109,Tabela57[Wartość netto])</f>
        <v>0</v>
      </c>
      <c r="G66" s="15"/>
      <c r="H66" s="26"/>
      <c r="I66" s="15"/>
      <c r="J66" s="15"/>
      <c r="K66" s="15"/>
      <c r="L66" s="16"/>
    </row>
    <row r="67" spans="1:12">
      <c r="A67" s="27"/>
      <c r="E67"/>
      <c r="F67" s="28"/>
      <c r="H67" s="24"/>
    </row>
    <row r="68" spans="1:12" ht="30">
      <c r="A68" s="10" t="s">
        <v>115</v>
      </c>
      <c r="B68" s="5"/>
    </row>
    <row r="69" spans="1:12" ht="15">
      <c r="A69" s="11" t="s">
        <v>116</v>
      </c>
      <c r="B69" s="5"/>
      <c r="L69" s="17"/>
    </row>
    <row r="70" spans="1:12" ht="15">
      <c r="A70" s="11" t="s">
        <v>117</v>
      </c>
      <c r="B70" s="5"/>
      <c r="L70" s="32" t="s">
        <v>119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0" fitToHeight="0" orientation="landscape" r:id="rId1"/>
  <tableParts count="1"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4324D-EFAA-4066-AEDE-B97FB415B982}">
  <sheetPr>
    <pageSetUpPr fitToPage="1"/>
  </sheetPr>
  <dimension ref="A1:M17"/>
  <sheetViews>
    <sheetView workbookViewId="0">
      <selection activeCell="F17" sqref="F17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907</v>
      </c>
      <c r="B1" s="19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76.5">
      <c r="A9" s="48" t="s">
        <v>4</v>
      </c>
      <c r="B9" s="53" t="s">
        <v>1050</v>
      </c>
      <c r="C9" s="50" t="s">
        <v>29</v>
      </c>
      <c r="D9" s="50">
        <v>110</v>
      </c>
      <c r="E9" s="52"/>
      <c r="F9" s="54">
        <f>Tabela58[[#This Row],[Ilość]]*Tabela58[[#This Row],[C.j. netto]]</f>
        <v>0</v>
      </c>
      <c r="G9" s="37"/>
      <c r="H9" s="38"/>
      <c r="I9" s="37"/>
      <c r="J9" s="37"/>
      <c r="K9" s="37"/>
      <c r="L9" s="39"/>
    </row>
    <row r="10" spans="1:13">
      <c r="A10" s="13" t="s">
        <v>118</v>
      </c>
      <c r="B10" s="14"/>
      <c r="C10" s="26"/>
      <c r="D10" s="26"/>
      <c r="E10" s="29"/>
      <c r="F10" s="31">
        <f>SUBTOTAL(109,Tabela58[Wartość netto])</f>
        <v>0</v>
      </c>
      <c r="G10" s="15"/>
      <c r="H10" s="30"/>
      <c r="I10" s="15"/>
      <c r="J10" s="15"/>
      <c r="K10" s="15"/>
      <c r="L10" s="16"/>
    </row>
    <row r="11" spans="1:13">
      <c r="A11" s="27"/>
      <c r="E11" s="55"/>
      <c r="F11" s="28"/>
      <c r="H11" s="56"/>
    </row>
    <row r="12" spans="1:13" ht="15">
      <c r="A12" s="47"/>
    </row>
    <row r="14" spans="1:13" ht="30">
      <c r="A14" s="10" t="s">
        <v>115</v>
      </c>
      <c r="B14" s="5"/>
    </row>
    <row r="15" spans="1:13" ht="30" customHeight="1">
      <c r="A15" s="11" t="s">
        <v>116</v>
      </c>
      <c r="B15" s="5"/>
      <c r="L15" s="17"/>
    </row>
    <row r="16" spans="1:13" ht="30" customHeight="1">
      <c r="A16" s="11" t="s">
        <v>117</v>
      </c>
      <c r="B16" s="5"/>
      <c r="L16" s="32" t="s">
        <v>119</v>
      </c>
    </row>
    <row r="17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CFD21-986C-4072-94FE-9F401F558B57}">
  <sheetPr>
    <pageSetUpPr fitToPage="1"/>
  </sheetPr>
  <dimension ref="A1:M59"/>
  <sheetViews>
    <sheetView workbookViewId="0">
      <selection activeCell="I27" sqref="I27"/>
    </sheetView>
    <sheetView workbookViewId="1"/>
    <sheetView workbookViewId="2">
      <selection activeCell="E9" sqref="E9:E12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908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84" t="s">
        <v>0</v>
      </c>
      <c r="B8" s="85" t="s">
        <v>15</v>
      </c>
      <c r="C8" s="85" t="s">
        <v>1</v>
      </c>
      <c r="D8" s="86" t="s">
        <v>2</v>
      </c>
      <c r="E8" s="87" t="s">
        <v>9</v>
      </c>
      <c r="F8" s="87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94" t="s">
        <v>4</v>
      </c>
      <c r="B9" s="93" t="s">
        <v>1053</v>
      </c>
      <c r="C9" s="92" t="s">
        <v>29</v>
      </c>
      <c r="D9" s="94">
        <v>180</v>
      </c>
      <c r="E9" s="94"/>
      <c r="F9" s="95">
        <f>Tabela59[[#This Row],[Ilość]]*Tabela59[[#This Row],[C.j. netto]]</f>
        <v>0</v>
      </c>
      <c r="G9" s="83"/>
      <c r="H9" s="38"/>
      <c r="I9" s="37"/>
      <c r="J9" s="37"/>
      <c r="K9" s="37"/>
      <c r="L9" s="39"/>
    </row>
    <row r="10" spans="1:13">
      <c r="A10" s="94" t="s">
        <v>5</v>
      </c>
      <c r="B10" s="93" t="s">
        <v>1054</v>
      </c>
      <c r="C10" s="92" t="s">
        <v>29</v>
      </c>
      <c r="D10" s="94">
        <v>200</v>
      </c>
      <c r="E10" s="94"/>
      <c r="F10" s="95">
        <f>Tabela59[[#This Row],[Ilość]]*Tabela59[[#This Row],[C.j. netto]]</f>
        <v>0</v>
      </c>
      <c r="G10" s="83"/>
      <c r="H10" s="38"/>
      <c r="I10" s="37"/>
      <c r="J10" s="37"/>
      <c r="K10" s="37"/>
      <c r="L10" s="39"/>
    </row>
    <row r="11" spans="1:13">
      <c r="A11" s="94" t="s">
        <v>6</v>
      </c>
      <c r="B11" s="93" t="s">
        <v>1055</v>
      </c>
      <c r="C11" s="92" t="s">
        <v>29</v>
      </c>
      <c r="D11" s="94">
        <v>100</v>
      </c>
      <c r="E11" s="94"/>
      <c r="F11" s="95">
        <f>Tabela59[[#This Row],[Ilość]]*Tabela59[[#This Row],[C.j. netto]]</f>
        <v>0</v>
      </c>
      <c r="G11" s="83"/>
      <c r="H11" s="38"/>
      <c r="I11" s="37"/>
      <c r="J11" s="37"/>
      <c r="K11" s="37"/>
      <c r="L11" s="39"/>
    </row>
    <row r="12" spans="1:13">
      <c r="A12" s="88" t="s">
        <v>118</v>
      </c>
      <c r="B12" s="89"/>
      <c r="C12" s="90"/>
      <c r="D12" s="90"/>
      <c r="E12" s="97"/>
      <c r="F12" s="91">
        <f>SUBTOTAL(109,Tabela59[Wartość netto])</f>
        <v>0</v>
      </c>
      <c r="G12" s="15"/>
      <c r="H12" s="26"/>
      <c r="I12" s="15"/>
      <c r="J12" s="15"/>
      <c r="K12" s="15"/>
      <c r="L12" s="16"/>
    </row>
    <row r="15" spans="1:13" ht="30">
      <c r="A15" s="10" t="s">
        <v>115</v>
      </c>
      <c r="B15" s="5"/>
    </row>
    <row r="16" spans="1:13" ht="15">
      <c r="A16" s="11" t="s">
        <v>116</v>
      </c>
      <c r="B16" s="5"/>
      <c r="L16" s="17"/>
    </row>
    <row r="17" spans="1:12" ht="15">
      <c r="A17" s="11" t="s">
        <v>117</v>
      </c>
      <c r="B17" s="5"/>
      <c r="L17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380ED-BE15-4D59-904B-71AF5AC42A74}">
  <sheetPr>
    <pageSetUpPr fitToPage="1"/>
  </sheetPr>
  <dimension ref="A1:M58"/>
  <sheetViews>
    <sheetView workbookViewId="0">
      <selection activeCell="B12" sqref="B12"/>
    </sheetView>
    <sheetView workbookViewId="1"/>
    <sheetView workbookViewId="2">
      <selection activeCell="E9" sqref="E9:E15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21</v>
      </c>
      <c r="B1" s="20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80" t="s">
        <v>4</v>
      </c>
      <c r="B9" s="77" t="s">
        <v>1280</v>
      </c>
      <c r="C9" s="64" t="s">
        <v>29</v>
      </c>
      <c r="D9" s="64">
        <v>160</v>
      </c>
      <c r="E9" s="75"/>
      <c r="F9" s="75">
        <f>Tabela6[[#This Row],[Ilość]]*Tabela6[[#This Row],[C.j. netto]]</f>
        <v>0</v>
      </c>
      <c r="G9" s="37"/>
      <c r="H9" s="38"/>
      <c r="I9" s="37"/>
      <c r="J9" s="37"/>
      <c r="K9" s="37"/>
      <c r="L9" s="39"/>
    </row>
    <row r="10" spans="1:13">
      <c r="A10" s="80" t="s">
        <v>5</v>
      </c>
      <c r="B10" s="77" t="s">
        <v>1281</v>
      </c>
      <c r="C10" s="64" t="s">
        <v>29</v>
      </c>
      <c r="D10" s="64">
        <v>3500</v>
      </c>
      <c r="E10" s="75"/>
      <c r="F10" s="75">
        <f>Tabela6[[#This Row],[Ilość]]*Tabela6[[#This Row],[C.j. netto]]</f>
        <v>0</v>
      </c>
      <c r="G10" s="37"/>
      <c r="H10" s="38"/>
      <c r="I10" s="37"/>
      <c r="J10" s="37"/>
      <c r="K10" s="37"/>
      <c r="L10" s="39"/>
    </row>
    <row r="11" spans="1:13">
      <c r="A11" s="80" t="s">
        <v>6</v>
      </c>
      <c r="B11" s="77" t="s">
        <v>1282</v>
      </c>
      <c r="C11" s="64" t="s">
        <v>29</v>
      </c>
      <c r="D11" s="64">
        <v>800</v>
      </c>
      <c r="E11" s="75"/>
      <c r="F11" s="75">
        <f>Tabela6[[#This Row],[Ilość]]*Tabela6[[#This Row],[C.j. netto]]</f>
        <v>0</v>
      </c>
      <c r="G11" s="37"/>
      <c r="H11" s="38"/>
      <c r="I11" s="37"/>
      <c r="J11" s="37"/>
      <c r="K11" s="37"/>
      <c r="L11" s="39"/>
    </row>
    <row r="12" spans="1:13">
      <c r="A12" s="80" t="s">
        <v>26</v>
      </c>
      <c r="B12" s="77" t="s">
        <v>1283</v>
      </c>
      <c r="C12" s="64" t="s">
        <v>29</v>
      </c>
      <c r="D12" s="64">
        <v>170</v>
      </c>
      <c r="E12" s="75"/>
      <c r="F12" s="75">
        <f>Tabela6[[#This Row],[Ilość]]*Tabela6[[#This Row],[C.j. netto]]</f>
        <v>0</v>
      </c>
      <c r="G12" s="37"/>
      <c r="H12" s="38"/>
      <c r="I12" s="37"/>
      <c r="J12" s="37"/>
      <c r="K12" s="37"/>
      <c r="L12" s="39"/>
    </row>
    <row r="13" spans="1:13">
      <c r="A13" s="80" t="s">
        <v>27</v>
      </c>
      <c r="B13" s="77" t="s">
        <v>1284</v>
      </c>
      <c r="C13" s="64" t="s">
        <v>29</v>
      </c>
      <c r="D13" s="64">
        <v>30</v>
      </c>
      <c r="E13" s="75"/>
      <c r="F13" s="75">
        <f>Tabela6[[#This Row],[Ilość]]*Tabela6[[#This Row],[C.j. netto]]</f>
        <v>0</v>
      </c>
      <c r="G13" s="37"/>
      <c r="H13" s="38"/>
      <c r="I13" s="37"/>
      <c r="J13" s="37"/>
      <c r="K13" s="37"/>
      <c r="L13" s="39"/>
    </row>
    <row r="14" spans="1:13">
      <c r="A14" s="80" t="s">
        <v>32</v>
      </c>
      <c r="B14" s="77" t="s">
        <v>1285</v>
      </c>
      <c r="C14" s="64" t="s">
        <v>16</v>
      </c>
      <c r="D14" s="64">
        <v>10</v>
      </c>
      <c r="E14" s="75"/>
      <c r="F14" s="75">
        <f>Tabela6[[#This Row],[Ilość]]*Tabela6[[#This Row],[C.j. netto]]</f>
        <v>0</v>
      </c>
      <c r="G14" s="37"/>
      <c r="H14" s="38"/>
      <c r="I14" s="37"/>
      <c r="J14" s="37"/>
      <c r="K14" s="37"/>
      <c r="L14" s="39"/>
    </row>
    <row r="15" spans="1:13">
      <c r="A15" s="13" t="s">
        <v>118</v>
      </c>
      <c r="B15" s="14"/>
      <c r="C15" s="26"/>
      <c r="D15" s="26"/>
      <c r="E15" s="15"/>
      <c r="F15" s="31">
        <f>SUBTOTAL(109,Tabela6[Wartość netto])</f>
        <v>0</v>
      </c>
      <c r="G15" s="15"/>
      <c r="H15" s="26"/>
      <c r="I15" s="15"/>
      <c r="J15" s="15"/>
      <c r="K15" s="15"/>
      <c r="L15" s="16"/>
    </row>
    <row r="16" spans="1:13">
      <c r="A16" s="27"/>
      <c r="E16"/>
      <c r="F16" s="28"/>
      <c r="H16" s="24"/>
    </row>
    <row r="17" spans="1:12">
      <c r="A17" s="27"/>
      <c r="E17"/>
      <c r="F17" s="28"/>
      <c r="H17" s="24"/>
    </row>
    <row r="18" spans="1:12" ht="30">
      <c r="A18" s="10" t="s">
        <v>115</v>
      </c>
      <c r="B18" s="5"/>
    </row>
    <row r="19" spans="1:12" ht="15">
      <c r="A19" s="11" t="s">
        <v>116</v>
      </c>
      <c r="B19" s="5"/>
      <c r="L19" s="17"/>
    </row>
    <row r="20" spans="1:12" ht="15">
      <c r="A20" s="11" t="s">
        <v>117</v>
      </c>
      <c r="B20" s="5"/>
      <c r="L20" s="32" t="s">
        <v>119</v>
      </c>
    </row>
    <row r="56" ht="30" customHeight="1"/>
    <row r="57" ht="30" customHeight="1"/>
    <row r="58" ht="30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A543-68BB-4089-8797-351D399A4436}">
  <sheetPr>
    <pageSetUpPr fitToPage="1"/>
  </sheetPr>
  <dimension ref="A1:M17"/>
  <sheetViews>
    <sheetView workbookViewId="0">
      <selection activeCell="I14" sqref="I14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941</v>
      </c>
      <c r="B1" s="19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48" t="s">
        <v>4</v>
      </c>
      <c r="B9" s="53" t="s">
        <v>1056</v>
      </c>
      <c r="C9" s="50" t="s">
        <v>29</v>
      </c>
      <c r="D9" s="50">
        <v>50</v>
      </c>
      <c r="E9" s="52"/>
      <c r="F9" s="54">
        <f>Tabela60[[#This Row],[Ilość]]*Tabela60[[#This Row],[C.j. netto]]</f>
        <v>0</v>
      </c>
      <c r="G9" s="37"/>
      <c r="H9" s="38"/>
      <c r="I9" s="37"/>
      <c r="J9" s="37"/>
      <c r="K9" s="37"/>
      <c r="L9" s="39"/>
    </row>
    <row r="10" spans="1:13">
      <c r="A10" s="13" t="s">
        <v>118</v>
      </c>
      <c r="B10" s="14"/>
      <c r="C10" s="26"/>
      <c r="D10" s="26"/>
      <c r="E10" s="29"/>
      <c r="F10" s="31">
        <f>SUBTOTAL(109,Tabela60[Wartość netto])</f>
        <v>0</v>
      </c>
      <c r="G10" s="15"/>
      <c r="H10" s="30"/>
      <c r="I10" s="15"/>
      <c r="J10" s="15"/>
      <c r="K10" s="15"/>
      <c r="L10" s="16"/>
    </row>
    <row r="11" spans="1:13">
      <c r="A11" s="27"/>
      <c r="E11" s="55"/>
      <c r="F11" s="28"/>
      <c r="H11" s="56"/>
    </row>
    <row r="12" spans="1:13" ht="15">
      <c r="A12" s="47"/>
    </row>
    <row r="14" spans="1:13" ht="30">
      <c r="A14" s="10" t="s">
        <v>115</v>
      </c>
      <c r="B14" s="5"/>
    </row>
    <row r="15" spans="1:13" ht="30" customHeight="1">
      <c r="A15" s="11" t="s">
        <v>116</v>
      </c>
      <c r="B15" s="5"/>
      <c r="L15" s="17"/>
    </row>
    <row r="16" spans="1:13" ht="30" customHeight="1">
      <c r="A16" s="11" t="s">
        <v>117</v>
      </c>
      <c r="B16" s="5"/>
      <c r="L16" s="32" t="s">
        <v>119</v>
      </c>
    </row>
    <row r="17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7475-9F84-4CDB-B091-5DAF2899A673}">
  <sheetPr>
    <pageSetUpPr fitToPage="1"/>
  </sheetPr>
  <dimension ref="A1:M17"/>
  <sheetViews>
    <sheetView workbookViewId="0">
      <selection activeCell="D21" sqref="D21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942</v>
      </c>
      <c r="B1" s="19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48" t="s">
        <v>4</v>
      </c>
      <c r="B9" s="53" t="s">
        <v>1057</v>
      </c>
      <c r="C9" s="50" t="s">
        <v>29</v>
      </c>
      <c r="D9" s="50">
        <v>1300</v>
      </c>
      <c r="E9" s="52"/>
      <c r="F9" s="54">
        <f>Tabela61[[#This Row],[Ilość]]*Tabela61[[#This Row],[C.j. netto]]</f>
        <v>0</v>
      </c>
      <c r="G9" s="37"/>
      <c r="H9" s="38"/>
      <c r="I9" s="37"/>
      <c r="J9" s="37"/>
      <c r="K9" s="37"/>
      <c r="L9" s="39"/>
    </row>
    <row r="10" spans="1:13">
      <c r="A10" s="13" t="s">
        <v>118</v>
      </c>
      <c r="B10" s="14"/>
      <c r="C10" s="26"/>
      <c r="D10" s="26"/>
      <c r="E10" s="29"/>
      <c r="F10" s="31">
        <f>SUBTOTAL(109,Tabela61[Wartość netto])</f>
        <v>0</v>
      </c>
      <c r="G10" s="15"/>
      <c r="H10" s="30"/>
      <c r="I10" s="15"/>
      <c r="J10" s="15"/>
      <c r="K10" s="15"/>
      <c r="L10" s="16"/>
    </row>
    <row r="11" spans="1:13">
      <c r="A11" s="27"/>
      <c r="E11" s="55"/>
      <c r="F11" s="28"/>
      <c r="H11" s="56"/>
    </row>
    <row r="12" spans="1:13" ht="15">
      <c r="A12" s="47"/>
    </row>
    <row r="14" spans="1:13" ht="30">
      <c r="A14" s="10" t="s">
        <v>115</v>
      </c>
      <c r="B14" s="5"/>
    </row>
    <row r="15" spans="1:13" ht="30" customHeight="1">
      <c r="A15" s="11" t="s">
        <v>116</v>
      </c>
      <c r="B15" s="5"/>
      <c r="L15" s="17"/>
    </row>
    <row r="16" spans="1:13" ht="30" customHeight="1">
      <c r="A16" s="11" t="s">
        <v>117</v>
      </c>
      <c r="B16" s="5"/>
      <c r="L16" s="32" t="s">
        <v>119</v>
      </c>
    </row>
    <row r="17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EAE01-5FD1-4C19-AF9D-B4875FA6B4C5}">
  <sheetPr>
    <pageSetUpPr fitToPage="1"/>
  </sheetPr>
  <dimension ref="A1:M17"/>
  <sheetViews>
    <sheetView workbookViewId="0"/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946</v>
      </c>
      <c r="B1" s="199"/>
    </row>
    <row r="3" spans="1:13" ht="39.950000000000003" customHeight="1">
      <c r="A3" s="8" t="s">
        <v>112</v>
      </c>
      <c r="B3" s="265"/>
      <c r="C3" s="265"/>
      <c r="D3" s="265"/>
      <c r="E3" s="265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48" t="s">
        <v>4</v>
      </c>
      <c r="B9" s="53" t="s">
        <v>1058</v>
      </c>
      <c r="C9" s="50" t="s">
        <v>29</v>
      </c>
      <c r="D9" s="50">
        <v>150</v>
      </c>
      <c r="E9" s="52"/>
      <c r="F9" s="54">
        <f>Tabela62[[#This Row],[Ilość]]*Tabela62[[#This Row],[C.j. netto]]</f>
        <v>0</v>
      </c>
      <c r="G9" s="37"/>
      <c r="H9" s="38"/>
      <c r="I9" s="37"/>
      <c r="J9" s="37"/>
      <c r="K9" s="37"/>
      <c r="L9" s="39"/>
    </row>
    <row r="10" spans="1:13">
      <c r="A10" s="13" t="s">
        <v>118</v>
      </c>
      <c r="B10" s="14"/>
      <c r="C10" s="26"/>
      <c r="D10" s="26"/>
      <c r="E10" s="29"/>
      <c r="F10" s="31">
        <f>SUBTOTAL(109,Tabela62[Wartość netto])</f>
        <v>0</v>
      </c>
      <c r="G10" s="15"/>
      <c r="H10" s="30"/>
      <c r="I10" s="15"/>
      <c r="J10" s="15"/>
      <c r="K10" s="15"/>
      <c r="L10" s="16"/>
    </row>
    <row r="12" spans="1:13" ht="30">
      <c r="A12" s="10" t="s">
        <v>115</v>
      </c>
      <c r="B12" s="5"/>
    </row>
    <row r="13" spans="1:13" ht="15">
      <c r="A13" s="11" t="s">
        <v>116</v>
      </c>
      <c r="B13" s="5"/>
      <c r="L13" s="17"/>
    </row>
    <row r="14" spans="1:13" ht="15">
      <c r="A14" s="11" t="s">
        <v>117</v>
      </c>
      <c r="B14" s="5"/>
      <c r="L14" s="32" t="s">
        <v>119</v>
      </c>
    </row>
    <row r="15" spans="1:13" ht="30" customHeight="1"/>
    <row r="16" spans="1:13" ht="30" customHeight="1"/>
    <row r="17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49AD8-2DCC-49DC-B6FC-CA23831DAC11}">
  <sheetPr>
    <pageSetUpPr fitToPage="1"/>
  </sheetPr>
  <dimension ref="A1:M62"/>
  <sheetViews>
    <sheetView workbookViewId="0">
      <selection activeCell="G17" sqref="G17"/>
    </sheetView>
    <sheetView workbookViewId="1"/>
    <sheetView workbookViewId="2">
      <selection activeCell="E9" sqref="E9:E13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971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84" t="s">
        <v>0</v>
      </c>
      <c r="B8" s="85" t="s">
        <v>15</v>
      </c>
      <c r="C8" s="85" t="s">
        <v>1</v>
      </c>
      <c r="D8" s="86" t="s">
        <v>2</v>
      </c>
      <c r="E8" s="87" t="s">
        <v>9</v>
      </c>
      <c r="F8" s="87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s="236" customFormat="1">
      <c r="A9" s="250" t="s">
        <v>4</v>
      </c>
      <c r="B9" s="233" t="s">
        <v>1371</v>
      </c>
      <c r="C9" s="232" t="s">
        <v>29</v>
      </c>
      <c r="D9" s="251">
        <v>500</v>
      </c>
      <c r="E9" s="252"/>
      <c r="F9" s="252">
        <f>Tabela63[[#This Row],[Ilość]]*Tabela63[[#This Row],[C.j. netto]]</f>
        <v>0</v>
      </c>
      <c r="G9" s="253"/>
      <c r="H9" s="234"/>
      <c r="I9" s="253"/>
      <c r="J9" s="253"/>
      <c r="K9" s="253"/>
      <c r="L9" s="254"/>
      <c r="M9" s="235"/>
    </row>
    <row r="10" spans="1:13" s="236" customFormat="1">
      <c r="A10" s="250" t="s">
        <v>5</v>
      </c>
      <c r="B10" s="233" t="s">
        <v>1372</v>
      </c>
      <c r="C10" s="232" t="s">
        <v>29</v>
      </c>
      <c r="D10" s="251">
        <v>200</v>
      </c>
      <c r="E10" s="252"/>
      <c r="F10" s="252">
        <f>Tabela63[[#This Row],[Ilość]]*Tabela63[[#This Row],[C.j. netto]]</f>
        <v>0</v>
      </c>
      <c r="G10" s="253"/>
      <c r="H10" s="234"/>
      <c r="I10" s="253"/>
      <c r="J10" s="253"/>
      <c r="K10" s="253"/>
      <c r="L10" s="254"/>
      <c r="M10" s="235"/>
    </row>
    <row r="11" spans="1:13" s="236" customFormat="1">
      <c r="A11" s="250" t="s">
        <v>6</v>
      </c>
      <c r="B11" s="233" t="s">
        <v>1373</v>
      </c>
      <c r="C11" s="232" t="s">
        <v>29</v>
      </c>
      <c r="D11" s="251">
        <v>200</v>
      </c>
      <c r="E11" s="252"/>
      <c r="F11" s="252">
        <f>Tabela63[[#This Row],[Ilość]]*Tabela63[[#This Row],[C.j. netto]]</f>
        <v>0</v>
      </c>
      <c r="G11" s="253"/>
      <c r="H11" s="234"/>
      <c r="I11" s="253"/>
      <c r="J11" s="253"/>
      <c r="K11" s="253"/>
      <c r="L11" s="254"/>
      <c r="M11" s="235"/>
    </row>
    <row r="12" spans="1:13" s="236" customFormat="1">
      <c r="A12" s="250" t="s">
        <v>26</v>
      </c>
      <c r="B12" s="233" t="s">
        <v>1059</v>
      </c>
      <c r="C12" s="231" t="s">
        <v>29</v>
      </c>
      <c r="D12" s="231">
        <v>200</v>
      </c>
      <c r="E12" s="263"/>
      <c r="F12" s="237">
        <f>Tabela63[[#This Row],[Ilość]]*Tabela63[[#This Row],[C.j. netto]]</f>
        <v>0</v>
      </c>
      <c r="G12" s="238"/>
      <c r="H12" s="239"/>
      <c r="I12" s="240"/>
      <c r="J12" s="240"/>
      <c r="K12" s="240"/>
      <c r="L12" s="241"/>
    </row>
    <row r="13" spans="1:13" s="236" customFormat="1" ht="25.5">
      <c r="A13" s="250" t="s">
        <v>27</v>
      </c>
      <c r="B13" s="233" t="s">
        <v>1060</v>
      </c>
      <c r="C13" s="231" t="s">
        <v>415</v>
      </c>
      <c r="D13" s="260">
        <v>20</v>
      </c>
      <c r="E13" s="263"/>
      <c r="F13" s="237">
        <f>Tabela63[[#This Row],[Ilość]]*Tabela63[[#This Row],[C.j. netto]]</f>
        <v>0</v>
      </c>
      <c r="G13" s="238"/>
      <c r="H13" s="239"/>
      <c r="I13" s="240"/>
      <c r="J13" s="240"/>
      <c r="K13" s="240"/>
      <c r="L13" s="241"/>
    </row>
    <row r="14" spans="1:13" s="236" customFormat="1">
      <c r="A14" s="242" t="s">
        <v>118</v>
      </c>
      <c r="B14" s="243"/>
      <c r="C14" s="244"/>
      <c r="D14" s="244"/>
      <c r="E14" s="245"/>
      <c r="F14" s="246">
        <f>SUBTOTAL(109,Tabela63[Wartość netto])</f>
        <v>0</v>
      </c>
      <c r="G14" s="247"/>
      <c r="H14" s="248"/>
      <c r="I14" s="247"/>
      <c r="J14" s="247"/>
      <c r="K14" s="247"/>
      <c r="L14" s="249"/>
    </row>
    <row r="17" spans="1:12" ht="30">
      <c r="A17" s="10" t="s">
        <v>115</v>
      </c>
      <c r="B17" s="5"/>
    </row>
    <row r="18" spans="1:12" ht="15">
      <c r="A18" s="11" t="s">
        <v>116</v>
      </c>
      <c r="B18" s="5"/>
      <c r="F18" s="255"/>
      <c r="G18" s="256"/>
      <c r="H18" s="258"/>
      <c r="I18" s="259"/>
      <c r="J18" s="256"/>
      <c r="L18" s="17"/>
    </row>
    <row r="19" spans="1:12" ht="15">
      <c r="A19" s="11" t="s">
        <v>117</v>
      </c>
      <c r="B19" s="5"/>
      <c r="F19" s="255"/>
      <c r="G19" s="256"/>
      <c r="H19" s="258"/>
      <c r="I19" s="259"/>
      <c r="J19" s="256"/>
      <c r="L19" s="32" t="s">
        <v>119</v>
      </c>
    </row>
    <row r="20" spans="1:12">
      <c r="F20" s="255"/>
      <c r="G20" s="256"/>
      <c r="H20" s="258"/>
      <c r="I20" s="259"/>
      <c r="J20" s="256"/>
    </row>
    <row r="21" spans="1:12">
      <c r="F21" s="255"/>
      <c r="G21" s="256"/>
      <c r="H21" s="257"/>
      <c r="I21" s="256"/>
      <c r="J21" s="256"/>
    </row>
    <row r="22" spans="1:12">
      <c r="F22" s="255"/>
      <c r="G22" s="256"/>
      <c r="H22" s="257"/>
      <c r="I22" s="256"/>
      <c r="J22" s="256"/>
    </row>
    <row r="23" spans="1:12">
      <c r="F23" s="255"/>
      <c r="G23" s="256"/>
      <c r="H23" s="257"/>
      <c r="I23" s="256"/>
      <c r="J23" s="256"/>
    </row>
    <row r="24" spans="1:12">
      <c r="F24" s="255"/>
      <c r="G24" s="256"/>
      <c r="H24" s="257"/>
      <c r="I24" s="256"/>
      <c r="J24" s="256"/>
    </row>
    <row r="25" spans="1:12">
      <c r="F25" s="255"/>
      <c r="G25" s="256"/>
      <c r="H25" s="257"/>
      <c r="I25" s="256"/>
      <c r="J25" s="256"/>
    </row>
    <row r="26" spans="1:12">
      <c r="F26" s="255"/>
      <c r="G26" s="256"/>
      <c r="H26" s="257"/>
      <c r="I26" s="256"/>
      <c r="J26" s="256"/>
    </row>
    <row r="27" spans="1:12">
      <c r="F27" s="255"/>
      <c r="G27" s="256"/>
      <c r="H27" s="257"/>
      <c r="I27" s="256"/>
      <c r="J27" s="256"/>
    </row>
    <row r="28" spans="1:12">
      <c r="F28" s="255"/>
      <c r="G28" s="256"/>
      <c r="H28" s="257"/>
      <c r="I28" s="256"/>
      <c r="J28" s="256"/>
    </row>
    <row r="29" spans="1:12">
      <c r="F29" s="255"/>
      <c r="G29" s="256"/>
      <c r="H29" s="257"/>
      <c r="I29" s="256"/>
      <c r="J29" s="256"/>
    </row>
    <row r="30" spans="1:12">
      <c r="F30" s="255"/>
      <c r="G30" s="256"/>
      <c r="H30" s="257"/>
      <c r="I30" s="256"/>
      <c r="J30" s="256"/>
    </row>
    <row r="60" ht="30" customHeight="1"/>
    <row r="61" ht="30" customHeight="1"/>
    <row r="62" ht="30" customHeight="1"/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BBD13-7341-4960-A6D1-93C4FA20DEE2}">
  <sheetPr>
    <pageSetUpPr fitToPage="1"/>
  </sheetPr>
  <dimension ref="A1:M59"/>
  <sheetViews>
    <sheetView workbookViewId="0">
      <selection activeCell="B10" sqref="B10"/>
    </sheetView>
    <sheetView workbookViewId="1"/>
    <sheetView workbookViewId="2">
      <selection activeCell="E9" sqref="E9:E10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980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84" t="s">
        <v>0</v>
      </c>
      <c r="B8" s="85" t="s">
        <v>15</v>
      </c>
      <c r="C8" s="85" t="s">
        <v>1</v>
      </c>
      <c r="D8" s="86" t="s">
        <v>2</v>
      </c>
      <c r="E8" s="87" t="s">
        <v>9</v>
      </c>
      <c r="F8" s="87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94" t="s">
        <v>4</v>
      </c>
      <c r="B9" s="93" t="s">
        <v>1061</v>
      </c>
      <c r="C9" s="92" t="s">
        <v>29</v>
      </c>
      <c r="D9" s="94">
        <v>600</v>
      </c>
      <c r="E9" s="94"/>
      <c r="F9" s="98">
        <f>Tabela64[[#This Row],[Ilość]]*Tabela64[[#This Row],[C.j. netto]]</f>
        <v>0</v>
      </c>
      <c r="G9" s="83"/>
      <c r="H9" s="38"/>
      <c r="I9" s="37"/>
      <c r="J9" s="37"/>
      <c r="K9" s="37"/>
      <c r="L9" s="39"/>
    </row>
    <row r="10" spans="1:13">
      <c r="A10" s="94" t="s">
        <v>5</v>
      </c>
      <c r="B10" s="93" t="s">
        <v>1062</v>
      </c>
      <c r="C10" s="92" t="s">
        <v>29</v>
      </c>
      <c r="D10" s="94">
        <v>400</v>
      </c>
      <c r="E10" s="94"/>
      <c r="F10" s="98">
        <f>Tabela64[[#This Row],[Ilość]]*Tabela64[[#This Row],[C.j. netto]]</f>
        <v>0</v>
      </c>
      <c r="G10" s="83"/>
      <c r="H10" s="38"/>
      <c r="I10" s="37"/>
      <c r="J10" s="37"/>
      <c r="K10" s="37"/>
      <c r="L10" s="39"/>
    </row>
    <row r="11" spans="1:13">
      <c r="A11" s="88" t="s">
        <v>118</v>
      </c>
      <c r="B11" s="89"/>
      <c r="C11" s="90"/>
      <c r="D11" s="90"/>
      <c r="E11" s="97"/>
      <c r="F11" s="91">
        <f>SUBTOTAL(109,Tabela64[Wartość netto])</f>
        <v>0</v>
      </c>
      <c r="G11" s="15"/>
      <c r="H11" s="26"/>
      <c r="I11" s="15"/>
      <c r="J11" s="15"/>
      <c r="K11" s="15"/>
      <c r="L11" s="16"/>
    </row>
    <row r="14" spans="1:13" ht="30">
      <c r="A14" s="10" t="s">
        <v>115</v>
      </c>
      <c r="B14" s="5"/>
    </row>
    <row r="15" spans="1:13" ht="15">
      <c r="A15" s="11" t="s">
        <v>116</v>
      </c>
      <c r="B15" s="5"/>
      <c r="L15" s="17"/>
    </row>
    <row r="16" spans="1:13" ht="15">
      <c r="A16" s="11" t="s">
        <v>117</v>
      </c>
      <c r="B16" s="5"/>
      <c r="L16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3CCB-AF47-430A-AC5F-37C82D5A3601}">
  <sheetPr>
    <pageSetUpPr fitToPage="1"/>
  </sheetPr>
  <dimension ref="A1:M59"/>
  <sheetViews>
    <sheetView workbookViewId="0">
      <selection activeCell="B10" sqref="B10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1038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84" t="s">
        <v>0</v>
      </c>
      <c r="B8" s="85" t="s">
        <v>15</v>
      </c>
      <c r="C8" s="85" t="s">
        <v>1</v>
      </c>
      <c r="D8" s="86" t="s">
        <v>2</v>
      </c>
      <c r="E8" s="87" t="s">
        <v>9</v>
      </c>
      <c r="F8" s="87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94" t="s">
        <v>4</v>
      </c>
      <c r="B9" s="145" t="s">
        <v>1179</v>
      </c>
      <c r="C9" s="146" t="s">
        <v>16</v>
      </c>
      <c r="D9" s="146">
        <v>10</v>
      </c>
      <c r="E9" s="147"/>
      <c r="F9" s="147">
        <f>Tabela65[[#This Row],[Ilość]]*Tabela65[[#This Row],[C.j. netto]]</f>
        <v>0</v>
      </c>
      <c r="G9" s="83"/>
      <c r="H9" s="38"/>
      <c r="I9" s="37"/>
      <c r="J9" s="37"/>
      <c r="K9" s="37"/>
      <c r="L9" s="39"/>
    </row>
    <row r="10" spans="1:13">
      <c r="A10" s="88"/>
      <c r="B10" s="89"/>
      <c r="C10" s="90"/>
      <c r="D10" s="90"/>
      <c r="E10" s="97"/>
      <c r="F10" s="91">
        <f>SUBTOTAL(109,Tabela65[Wartość netto])</f>
        <v>0</v>
      </c>
      <c r="G10" s="15"/>
      <c r="H10" s="26"/>
      <c r="I10" s="15"/>
      <c r="J10" s="15"/>
      <c r="K10" s="15"/>
      <c r="L10" s="16"/>
    </row>
    <row r="13" spans="1:13" ht="30">
      <c r="A13" s="10" t="s">
        <v>115</v>
      </c>
      <c r="B13" s="5"/>
    </row>
    <row r="14" spans="1:13" ht="15">
      <c r="A14" s="11" t="s">
        <v>116</v>
      </c>
      <c r="B14" s="5"/>
      <c r="L14" s="17"/>
    </row>
    <row r="15" spans="1:13" ht="15">
      <c r="A15" s="11" t="s">
        <v>117</v>
      </c>
      <c r="B15" s="5"/>
      <c r="L15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C09D-F957-4343-B363-165C4C2D816A}">
  <sheetPr>
    <pageSetUpPr fitToPage="1"/>
  </sheetPr>
  <dimension ref="A1:M58"/>
  <sheetViews>
    <sheetView workbookViewId="0">
      <selection activeCell="B9" sqref="B9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1362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84" t="s">
        <v>0</v>
      </c>
      <c r="B8" s="85" t="s">
        <v>15</v>
      </c>
      <c r="C8" s="85" t="s">
        <v>1</v>
      </c>
      <c r="D8" s="86" t="s">
        <v>2</v>
      </c>
      <c r="E8" s="87" t="s">
        <v>9</v>
      </c>
      <c r="F8" s="87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76.5">
      <c r="A9" s="94" t="s">
        <v>4</v>
      </c>
      <c r="B9" s="57" t="s">
        <v>1233</v>
      </c>
      <c r="C9" s="50" t="s">
        <v>839</v>
      </c>
      <c r="D9" s="105">
        <v>300</v>
      </c>
      <c r="E9" s="95"/>
      <c r="F9" s="107">
        <f>Tabela66[[#This Row],[C.j. netto]]*Tabela66[[#This Row],[Ilość]]</f>
        <v>0</v>
      </c>
      <c r="G9" s="83"/>
      <c r="H9" s="38"/>
      <c r="I9" s="37"/>
      <c r="J9" s="37"/>
      <c r="K9" s="37"/>
      <c r="L9" s="39"/>
    </row>
    <row r="10" spans="1:13">
      <c r="A10" s="88"/>
      <c r="B10" s="89"/>
      <c r="C10" s="90"/>
      <c r="D10" s="90"/>
      <c r="E10" s="97"/>
      <c r="F10" s="91">
        <f>SUBTOTAL(109,Tabela66[Wartość netto])</f>
        <v>0</v>
      </c>
      <c r="G10" s="15"/>
      <c r="H10" s="26"/>
      <c r="I10" s="15"/>
      <c r="J10" s="15"/>
      <c r="K10" s="15"/>
      <c r="L10" s="16"/>
    </row>
    <row r="13" spans="1:13" ht="30">
      <c r="A13" s="10" t="s">
        <v>115</v>
      </c>
      <c r="B13" s="5"/>
    </row>
    <row r="14" spans="1:13" ht="15">
      <c r="A14" s="11" t="s">
        <v>116</v>
      </c>
      <c r="B14" s="5"/>
      <c r="L14" s="17"/>
    </row>
    <row r="15" spans="1:13" ht="15">
      <c r="A15" s="11" t="s">
        <v>117</v>
      </c>
      <c r="B15" s="5"/>
      <c r="L15" s="32" t="s">
        <v>119</v>
      </c>
    </row>
    <row r="56" ht="30" customHeight="1"/>
    <row r="57" ht="30" customHeight="1"/>
    <row r="58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A19D-E7C2-4C83-B432-75B95C8730E7}">
  <sheetPr>
    <pageSetUpPr fitToPage="1"/>
  </sheetPr>
  <dimension ref="A1:M59"/>
  <sheetViews>
    <sheetView workbookViewId="0">
      <selection activeCell="B11" sqref="B11"/>
    </sheetView>
    <sheetView workbookViewId="1"/>
    <sheetView workbookViewId="2">
      <selection activeCell="E9" sqref="E9:E14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981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33" t="s">
        <v>4</v>
      </c>
      <c r="B9" s="34" t="s">
        <v>1063</v>
      </c>
      <c r="C9" s="35" t="s">
        <v>29</v>
      </c>
      <c r="D9" s="64">
        <v>200</v>
      </c>
      <c r="E9" s="36"/>
      <c r="F9" s="36">
        <f>Tabela67[[#This Row],[Ilość]]*Tabela67[[#This Row],[C.j. netto]]</f>
        <v>0</v>
      </c>
      <c r="G9" s="37"/>
      <c r="H9" s="38"/>
      <c r="I9" s="37"/>
      <c r="J9" s="37"/>
      <c r="K9" s="37"/>
      <c r="L9" s="39"/>
    </row>
    <row r="10" spans="1:13">
      <c r="A10" s="33" t="s">
        <v>5</v>
      </c>
      <c r="B10" s="34" t="s">
        <v>1064</v>
      </c>
      <c r="C10" s="35" t="s">
        <v>29</v>
      </c>
      <c r="D10" s="65">
        <v>400</v>
      </c>
      <c r="E10" s="36"/>
      <c r="F10" s="36">
        <f>Tabela67[[#This Row],[Ilość]]*Tabela67[[#This Row],[C.j. netto]]</f>
        <v>0</v>
      </c>
      <c r="G10" s="37"/>
      <c r="H10" s="38"/>
      <c r="I10" s="37"/>
      <c r="J10" s="37"/>
      <c r="K10" s="37"/>
      <c r="L10" s="39"/>
    </row>
    <row r="11" spans="1:13">
      <c r="A11" s="33" t="s">
        <v>6</v>
      </c>
      <c r="B11" s="34" t="s">
        <v>1065</v>
      </c>
      <c r="C11" s="35" t="s">
        <v>29</v>
      </c>
      <c r="D11" s="64">
        <v>900</v>
      </c>
      <c r="E11" s="36"/>
      <c r="F11" s="36">
        <f>Tabela67[[#This Row],[Ilość]]*Tabela67[[#This Row],[C.j. netto]]</f>
        <v>0</v>
      </c>
      <c r="G11" s="37"/>
      <c r="H11" s="38"/>
      <c r="I11" s="66"/>
      <c r="J11" s="37"/>
      <c r="K11" s="37"/>
      <c r="L11" s="39"/>
    </row>
    <row r="12" spans="1:13">
      <c r="A12" s="33" t="s">
        <v>26</v>
      </c>
      <c r="B12" s="34" t="s">
        <v>1066</v>
      </c>
      <c r="C12" s="35" t="s">
        <v>29</v>
      </c>
      <c r="D12" s="64">
        <v>1900</v>
      </c>
      <c r="E12" s="36"/>
      <c r="F12" s="36">
        <f>Tabela67[[#This Row],[Ilość]]*Tabela67[[#This Row],[C.j. netto]]</f>
        <v>0</v>
      </c>
      <c r="G12" s="37"/>
      <c r="H12" s="38"/>
      <c r="I12" s="66"/>
      <c r="J12" s="37"/>
      <c r="K12" s="37"/>
      <c r="L12" s="39"/>
    </row>
    <row r="13" spans="1:13">
      <c r="A13" s="33" t="s">
        <v>27</v>
      </c>
      <c r="B13" s="34" t="s">
        <v>1147</v>
      </c>
      <c r="C13" s="35" t="s">
        <v>29</v>
      </c>
      <c r="D13" s="64">
        <v>2000</v>
      </c>
      <c r="E13" s="36"/>
      <c r="F13" s="36">
        <f>Tabela67[[#This Row],[Ilość]]*Tabela67[[#This Row],[C.j. netto]]</f>
        <v>0</v>
      </c>
      <c r="G13" s="37"/>
      <c r="H13" s="38"/>
      <c r="I13" s="66"/>
      <c r="J13" s="37"/>
      <c r="K13" s="37"/>
      <c r="L13" s="39"/>
    </row>
    <row r="14" spans="1:13">
      <c r="A14" s="13" t="s">
        <v>118</v>
      </c>
      <c r="B14" s="14"/>
      <c r="C14" s="26"/>
      <c r="D14" s="26"/>
      <c r="E14" s="15"/>
      <c r="F14" s="31">
        <f>SUBTOTAL(109,Tabela67[Wartość netto])</f>
        <v>0</v>
      </c>
      <c r="G14" s="15"/>
      <c r="H14" s="26"/>
      <c r="I14" s="15"/>
      <c r="J14" s="15"/>
      <c r="K14" s="15"/>
      <c r="L14" s="16"/>
    </row>
    <row r="17" spans="1:12" ht="30">
      <c r="A17" s="10" t="s">
        <v>115</v>
      </c>
      <c r="B17" s="5"/>
    </row>
    <row r="18" spans="1:12" ht="15">
      <c r="A18" s="11" t="s">
        <v>116</v>
      </c>
      <c r="B18" s="5"/>
      <c r="L18" s="17"/>
    </row>
    <row r="19" spans="1:12" ht="15">
      <c r="A19" s="11" t="s">
        <v>117</v>
      </c>
      <c r="B19" s="5"/>
      <c r="L19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D123-F488-49D9-9AC6-AD661A2CB4DB}">
  <sheetPr>
    <pageSetUpPr fitToPage="1"/>
  </sheetPr>
  <dimension ref="A1:M59"/>
  <sheetViews>
    <sheetView workbookViewId="0">
      <selection activeCell="F9" sqref="F9"/>
    </sheetView>
    <sheetView workbookViewId="1"/>
    <sheetView workbookViewId="2">
      <selection activeCell="H19" sqref="H19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1049</v>
      </c>
      <c r="B1" s="200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84" t="s">
        <v>0</v>
      </c>
      <c r="B8" s="85" t="s">
        <v>15</v>
      </c>
      <c r="C8" s="85" t="s">
        <v>1</v>
      </c>
      <c r="D8" s="86" t="s">
        <v>2</v>
      </c>
      <c r="E8" s="87" t="s">
        <v>9</v>
      </c>
      <c r="F8" s="87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94" t="s">
        <v>4</v>
      </c>
      <c r="B9" s="93" t="s">
        <v>1068</v>
      </c>
      <c r="C9" s="92" t="s">
        <v>1067</v>
      </c>
      <c r="D9" s="99">
        <v>16000</v>
      </c>
      <c r="E9" s="95"/>
      <c r="F9" s="95">
        <f>Tabela68[[#This Row],[Ilość]]*Tabela68[[#This Row],[C.j. netto]]</f>
        <v>0</v>
      </c>
      <c r="G9" s="83"/>
      <c r="H9" s="38"/>
      <c r="I9" s="37"/>
      <c r="J9" s="37"/>
      <c r="K9" s="37"/>
      <c r="L9" s="39"/>
    </row>
    <row r="10" spans="1:13">
      <c r="A10" s="192"/>
      <c r="B10" s="89"/>
      <c r="C10" s="90"/>
      <c r="D10" s="90"/>
      <c r="E10" s="97"/>
      <c r="F10" s="91">
        <f>SUBTOTAL(109,Tabela68[Wartość netto])</f>
        <v>0</v>
      </c>
      <c r="G10" s="15"/>
      <c r="H10" s="26"/>
      <c r="I10" s="15"/>
      <c r="J10" s="15"/>
      <c r="K10" s="15"/>
      <c r="L10" s="16"/>
    </row>
    <row r="13" spans="1:13" ht="30">
      <c r="A13" s="10" t="s">
        <v>115</v>
      </c>
      <c r="B13" s="5"/>
    </row>
    <row r="14" spans="1:13" ht="15">
      <c r="A14" s="11" t="s">
        <v>116</v>
      </c>
      <c r="B14" s="5"/>
      <c r="L14" s="17"/>
    </row>
    <row r="15" spans="1:13" ht="15">
      <c r="A15" s="11" t="s">
        <v>117</v>
      </c>
      <c r="B15" s="5"/>
      <c r="L15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052E-3BCA-4D52-993C-3B833919B985}">
  <sheetPr>
    <pageSetUpPr fitToPage="1"/>
  </sheetPr>
  <dimension ref="A1:M59"/>
  <sheetViews>
    <sheetView workbookViewId="0">
      <selection activeCell="B22" sqref="B22"/>
    </sheetView>
    <sheetView workbookViewId="1"/>
    <sheetView workbookViewId="2">
      <selection activeCell="E9" sqref="E9:E10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1051</v>
      </c>
      <c r="B1" s="5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33" t="s">
        <v>4</v>
      </c>
      <c r="B9" s="34" t="s">
        <v>1070</v>
      </c>
      <c r="C9" s="35" t="s">
        <v>16</v>
      </c>
      <c r="D9" s="64">
        <v>100</v>
      </c>
      <c r="E9" s="36"/>
      <c r="F9" s="36">
        <f>Tabela69[[#This Row],[Ilość]]*Tabela69[[#This Row],[C.j. netto]]</f>
        <v>0</v>
      </c>
      <c r="G9" s="37"/>
      <c r="H9" s="38"/>
      <c r="I9" s="37"/>
      <c r="J9" s="37"/>
      <c r="K9" s="37"/>
      <c r="L9" s="39"/>
    </row>
    <row r="10" spans="1:13">
      <c r="A10" s="33" t="s">
        <v>5</v>
      </c>
      <c r="B10" s="34" t="s">
        <v>1071</v>
      </c>
      <c r="C10" s="35" t="s">
        <v>16</v>
      </c>
      <c r="D10" s="65">
        <v>150</v>
      </c>
      <c r="E10" s="36"/>
      <c r="F10" s="36">
        <f>Tabela69[[#This Row],[Ilość]]*Tabela69[[#This Row],[C.j. netto]]</f>
        <v>0</v>
      </c>
      <c r="G10" s="37"/>
      <c r="H10" s="38"/>
      <c r="I10" s="37"/>
      <c r="J10" s="37"/>
      <c r="K10" s="37"/>
      <c r="L10" s="39"/>
    </row>
    <row r="11" spans="1:13">
      <c r="A11" s="13" t="s">
        <v>118</v>
      </c>
      <c r="B11" s="14"/>
      <c r="C11" s="26"/>
      <c r="D11" s="26"/>
      <c r="E11" s="15"/>
      <c r="F11" s="31">
        <f>SUBTOTAL(109,Tabela69[Wartość netto])</f>
        <v>0</v>
      </c>
      <c r="G11" s="15"/>
      <c r="H11" s="26"/>
      <c r="I11" s="15"/>
      <c r="J11" s="15"/>
      <c r="K11" s="15"/>
      <c r="L11" s="16"/>
    </row>
    <row r="14" spans="1:13" ht="30">
      <c r="A14" s="10" t="s">
        <v>115</v>
      </c>
      <c r="B14" s="5"/>
    </row>
    <row r="15" spans="1:13" ht="15">
      <c r="A15" s="11" t="s">
        <v>116</v>
      </c>
      <c r="B15" s="5"/>
      <c r="L15" s="17"/>
    </row>
    <row r="16" spans="1:13" ht="15">
      <c r="A16" s="11" t="s">
        <v>117</v>
      </c>
      <c r="B16" s="5"/>
      <c r="L16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C3E21-6D9F-4C6E-9B6A-F5CEBBEE20E5}">
  <sheetPr>
    <pageSetUpPr fitToPage="1"/>
  </sheetPr>
  <dimension ref="A1:M28"/>
  <sheetViews>
    <sheetView workbookViewId="0">
      <selection activeCell="A9" sqref="A9"/>
    </sheetView>
    <sheetView workbookViewId="1"/>
    <sheetView workbookViewId="2">
      <selection activeCell="E9" sqref="E9"/>
    </sheetView>
  </sheetViews>
  <sheetFormatPr defaultRowHeight="14.25"/>
  <cols>
    <col min="1" max="1" width="14.125" customWidth="1"/>
    <col min="2" max="2" width="52.625" style="6" customWidth="1"/>
    <col min="3" max="4" width="8.875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22</v>
      </c>
      <c r="B1" s="5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48" t="s">
        <v>4</v>
      </c>
      <c r="B9" s="49" t="s">
        <v>1175</v>
      </c>
      <c r="C9" s="50" t="s">
        <v>16</v>
      </c>
      <c r="D9" s="105">
        <v>2000</v>
      </c>
      <c r="E9" s="114"/>
      <c r="F9" s="114">
        <f>Tabela7[[#This Row],[Ilość]]*Tabela7[[#This Row],[C.j. netto]]</f>
        <v>0</v>
      </c>
      <c r="G9" s="118">
        <v>0.08</v>
      </c>
      <c r="H9" s="38">
        <f>Tabela7[[#This Row],[C.j. netto]]*(1+Tabela7[[#This Row],[Stawka podatku VAT]])</f>
        <v>0</v>
      </c>
      <c r="I9" s="119">
        <f>Tabela7[[#This Row],[C.j. brutto]]*Tabela7[[#This Row],[Ilość]]</f>
        <v>0</v>
      </c>
      <c r="J9" s="37"/>
      <c r="K9" s="37"/>
      <c r="L9" s="39"/>
    </row>
    <row r="10" spans="1:13">
      <c r="A10" s="13" t="s">
        <v>118</v>
      </c>
      <c r="B10" s="14"/>
      <c r="C10" s="26"/>
      <c r="D10" s="26"/>
      <c r="E10" s="15"/>
      <c r="F10" s="31">
        <f>SUBTOTAL(109,Tabela7[Wartość netto])</f>
        <v>0</v>
      </c>
      <c r="G10" s="15"/>
      <c r="H10" s="26"/>
      <c r="I10" s="15"/>
      <c r="J10" s="15"/>
      <c r="K10" s="15"/>
      <c r="L10" s="16"/>
    </row>
    <row r="11" spans="1:13">
      <c r="A11" s="27"/>
      <c r="E11"/>
      <c r="F11" s="28"/>
      <c r="H11" s="24"/>
    </row>
    <row r="12" spans="1:13">
      <c r="A12" s="27"/>
      <c r="E12"/>
      <c r="F12" s="28"/>
      <c r="H12" s="24"/>
    </row>
    <row r="13" spans="1:13" ht="30">
      <c r="A13" s="10" t="s">
        <v>115</v>
      </c>
      <c r="B13" s="5"/>
      <c r="G13" s="28"/>
    </row>
    <row r="14" spans="1:13" ht="15">
      <c r="A14" s="11" t="s">
        <v>116</v>
      </c>
      <c r="B14" s="5"/>
      <c r="L14" s="17"/>
    </row>
    <row r="15" spans="1:13" ht="15">
      <c r="A15" s="11" t="s">
        <v>117</v>
      </c>
      <c r="B15" s="5"/>
      <c r="L15" s="32" t="s">
        <v>119</v>
      </c>
    </row>
    <row r="18" spans="5:6">
      <c r="E18"/>
      <c r="F18"/>
    </row>
    <row r="19" spans="5:6">
      <c r="E19"/>
      <c r="F19"/>
    </row>
    <row r="20" spans="5:6">
      <c r="E20"/>
      <c r="F20"/>
    </row>
    <row r="21" spans="5:6">
      <c r="E21"/>
      <c r="F21"/>
    </row>
    <row r="25" spans="5:6" ht="18" customHeight="1"/>
    <row r="26" spans="5:6" ht="15.75" customHeight="1"/>
    <row r="27" spans="5:6" ht="17.25" customHeight="1"/>
    <row r="28" spans="5:6" ht="19.5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0" fitToHeight="0" orientation="landscape" r:id="rId1"/>
  <tableParts count="1">
    <tablePart r:id="rId2"/>
  </tablePart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E2F0-F822-4726-9BD8-2F9F8B7AA8C6}">
  <sheetPr>
    <pageSetUpPr fitToPage="1"/>
  </sheetPr>
  <dimension ref="A1:M59"/>
  <sheetViews>
    <sheetView workbookViewId="0"/>
    <sheetView workbookViewId="1"/>
    <sheetView workbookViewId="2">
      <selection activeCell="E23" sqref="E23"/>
    </sheetView>
  </sheetViews>
  <sheetFormatPr defaultRowHeight="14.25"/>
  <cols>
    <col min="1" max="1" width="14.125" customWidth="1"/>
    <col min="2" max="2" width="49.625" style="6" customWidth="1"/>
    <col min="3" max="4" width="9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1052</v>
      </c>
      <c r="B1" s="193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84" t="s">
        <v>0</v>
      </c>
      <c r="B8" s="85" t="s">
        <v>15</v>
      </c>
      <c r="C8" s="85" t="s">
        <v>1</v>
      </c>
      <c r="D8" s="86" t="s">
        <v>2</v>
      </c>
      <c r="E8" s="87" t="s">
        <v>9</v>
      </c>
      <c r="F8" s="87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 ht="25.5">
      <c r="A9" s="94" t="s">
        <v>4</v>
      </c>
      <c r="B9" s="93" t="s">
        <v>1072</v>
      </c>
      <c r="C9" s="92" t="s">
        <v>16</v>
      </c>
      <c r="D9" s="99">
        <v>350</v>
      </c>
      <c r="E9" s="95"/>
      <c r="F9" s="95">
        <f>Tabela70[[#This Row],[Ilość]]*Tabela70[[#This Row],[C.j. netto]]</f>
        <v>0</v>
      </c>
      <c r="G9" s="83"/>
      <c r="H9" s="38"/>
      <c r="I9" s="37"/>
      <c r="J9" s="37"/>
      <c r="K9" s="37"/>
      <c r="L9" s="39"/>
    </row>
    <row r="10" spans="1:13">
      <c r="A10" s="88"/>
      <c r="B10" s="89"/>
      <c r="C10" s="90"/>
      <c r="D10" s="90"/>
      <c r="E10" s="97"/>
      <c r="F10" s="91">
        <f>SUBTOTAL(109,Tabela70[Wartość netto])</f>
        <v>0</v>
      </c>
      <c r="G10" s="15"/>
      <c r="H10" s="26"/>
      <c r="I10" s="15"/>
      <c r="J10" s="15"/>
      <c r="K10" s="15"/>
      <c r="L10" s="16"/>
    </row>
    <row r="13" spans="1:13" ht="30">
      <c r="A13" s="10" t="s">
        <v>115</v>
      </c>
      <c r="B13" s="5"/>
    </row>
    <row r="14" spans="1:13" ht="15">
      <c r="A14" s="11" t="s">
        <v>116</v>
      </c>
      <c r="B14" s="5"/>
      <c r="L14" s="17"/>
    </row>
    <row r="15" spans="1:13" ht="15">
      <c r="A15" s="11" t="s">
        <v>117</v>
      </c>
      <c r="B15" s="5"/>
      <c r="L15" s="32" t="s">
        <v>119</v>
      </c>
    </row>
    <row r="57" ht="30" customHeight="1"/>
    <row r="58" ht="30" customHeight="1"/>
    <row r="59" ht="30" customHeight="1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6B6D-4731-412F-AF5F-929DBC580BE2}">
  <sheetPr>
    <pageSetUpPr fitToPage="1"/>
  </sheetPr>
  <dimension ref="A1:M23"/>
  <sheetViews>
    <sheetView workbookViewId="0">
      <selection activeCell="F36" sqref="F36"/>
    </sheetView>
    <sheetView workbookViewId="1"/>
    <sheetView workbookViewId="2">
      <selection activeCell="E23" sqref="E23"/>
    </sheetView>
  </sheetViews>
  <sheetFormatPr defaultRowHeight="14.25"/>
  <cols>
    <col min="1" max="1" width="14.125" customWidth="1"/>
    <col min="2" max="2" width="49.625" style="6" customWidth="1"/>
    <col min="3" max="4" width="9.125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23</v>
      </c>
      <c r="B1" s="19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33" t="s">
        <v>4</v>
      </c>
      <c r="B9" s="57" t="s">
        <v>168</v>
      </c>
      <c r="C9" s="35" t="s">
        <v>29</v>
      </c>
      <c r="D9" s="35">
        <v>5</v>
      </c>
      <c r="E9" s="36"/>
      <c r="F9" s="36">
        <f>Tabela8[[#This Row],[Ilość]]*Tabela8[[#This Row],[C.j. netto]]</f>
        <v>0</v>
      </c>
      <c r="G9" s="37"/>
      <c r="H9" s="38"/>
      <c r="I9" s="37"/>
      <c r="J9" s="37"/>
      <c r="K9" s="37"/>
      <c r="L9" s="39"/>
    </row>
    <row r="10" spans="1:13" ht="25.5">
      <c r="A10" s="33" t="s">
        <v>5</v>
      </c>
      <c r="B10" s="57" t="s">
        <v>169</v>
      </c>
      <c r="C10" s="35" t="s">
        <v>29</v>
      </c>
      <c r="D10" s="35">
        <v>25</v>
      </c>
      <c r="E10" s="36"/>
      <c r="F10" s="36">
        <f>Tabela8[[#This Row],[Ilość]]*Tabela8[[#This Row],[C.j. netto]]</f>
        <v>0</v>
      </c>
      <c r="G10" s="37"/>
      <c r="H10" s="38"/>
      <c r="I10" s="37"/>
      <c r="J10" s="37"/>
      <c r="K10" s="37"/>
      <c r="L10" s="39"/>
    </row>
    <row r="11" spans="1:13">
      <c r="A11" s="33" t="s">
        <v>6</v>
      </c>
      <c r="B11" s="57" t="s">
        <v>170</v>
      </c>
      <c r="C11" s="35" t="s">
        <v>29</v>
      </c>
      <c r="D11" s="35">
        <v>60</v>
      </c>
      <c r="E11" s="36"/>
      <c r="F11" s="36">
        <f>Tabela8[[#This Row],[Ilość]]*Tabela8[[#This Row],[C.j. netto]]</f>
        <v>0</v>
      </c>
      <c r="G11" s="37"/>
      <c r="H11" s="38"/>
      <c r="I11" s="37"/>
      <c r="J11" s="37"/>
      <c r="K11" s="37"/>
      <c r="L11" s="39"/>
    </row>
    <row r="12" spans="1:13">
      <c r="A12" s="33" t="s">
        <v>26</v>
      </c>
      <c r="B12" s="57" t="s">
        <v>171</v>
      </c>
      <c r="C12" s="35" t="s">
        <v>29</v>
      </c>
      <c r="D12" s="35">
        <v>5</v>
      </c>
      <c r="E12" s="36"/>
      <c r="F12" s="36">
        <f>Tabela8[[#This Row],[Ilość]]*Tabela8[[#This Row],[C.j. netto]]</f>
        <v>0</v>
      </c>
      <c r="G12" s="37"/>
      <c r="H12" s="38"/>
      <c r="I12" s="37"/>
      <c r="J12" s="37"/>
      <c r="K12" s="37"/>
      <c r="L12" s="39"/>
    </row>
    <row r="13" spans="1:13">
      <c r="A13" s="33" t="s">
        <v>27</v>
      </c>
      <c r="B13" s="57" t="s">
        <v>172</v>
      </c>
      <c r="C13" s="35" t="s">
        <v>29</v>
      </c>
      <c r="D13" s="35">
        <v>5</v>
      </c>
      <c r="E13" s="36"/>
      <c r="F13" s="36">
        <f>Tabela8[[#This Row],[Ilość]]*Tabela8[[#This Row],[C.j. netto]]</f>
        <v>0</v>
      </c>
      <c r="G13" s="37"/>
      <c r="H13" s="38"/>
      <c r="I13" s="37"/>
      <c r="J13" s="37"/>
      <c r="K13" s="37"/>
      <c r="L13" s="39"/>
    </row>
    <row r="14" spans="1:13">
      <c r="A14" s="33" t="s">
        <v>32</v>
      </c>
      <c r="B14" s="57" t="s">
        <v>173</v>
      </c>
      <c r="C14" s="35" t="s">
        <v>29</v>
      </c>
      <c r="D14" s="35">
        <v>80</v>
      </c>
      <c r="E14" s="36"/>
      <c r="F14" s="36">
        <f>Tabela8[[#This Row],[Ilość]]*Tabela8[[#This Row],[C.j. netto]]</f>
        <v>0</v>
      </c>
      <c r="G14" s="37"/>
      <c r="H14" s="38"/>
      <c r="I14" s="37"/>
      <c r="J14" s="37"/>
      <c r="K14" s="37"/>
      <c r="L14" s="39"/>
    </row>
    <row r="15" spans="1:13">
      <c r="A15" s="33" t="s">
        <v>34</v>
      </c>
      <c r="B15" s="57" t="s">
        <v>174</v>
      </c>
      <c r="C15" s="35" t="s">
        <v>29</v>
      </c>
      <c r="D15" s="35">
        <v>200</v>
      </c>
      <c r="E15" s="36"/>
      <c r="F15" s="36">
        <f>Tabela8[[#This Row],[Ilość]]*Tabela8[[#This Row],[C.j. netto]]</f>
        <v>0</v>
      </c>
      <c r="G15" s="37"/>
      <c r="H15" s="38"/>
      <c r="I15" s="37"/>
      <c r="J15" s="37"/>
      <c r="K15" s="37"/>
      <c r="L15" s="39"/>
    </row>
    <row r="16" spans="1:13">
      <c r="A16" s="33" t="s">
        <v>36</v>
      </c>
      <c r="B16" s="57" t="s">
        <v>176</v>
      </c>
      <c r="C16" s="35" t="s">
        <v>29</v>
      </c>
      <c r="D16" s="35">
        <v>50</v>
      </c>
      <c r="E16" s="36"/>
      <c r="F16" s="36">
        <f>Tabela8[[#This Row],[Ilość]]*Tabela8[[#This Row],[C.j. netto]]</f>
        <v>0</v>
      </c>
      <c r="G16" s="37"/>
      <c r="H16" s="38"/>
      <c r="I16" s="37"/>
      <c r="J16" s="37"/>
      <c r="K16" s="37"/>
      <c r="L16" s="39"/>
    </row>
    <row r="17" spans="1:12">
      <c r="A17" s="33" t="s">
        <v>38</v>
      </c>
      <c r="B17" s="57" t="s">
        <v>175</v>
      </c>
      <c r="C17" s="35" t="s">
        <v>16</v>
      </c>
      <c r="D17" s="35">
        <v>180</v>
      </c>
      <c r="E17" s="36"/>
      <c r="F17" s="36">
        <f>Tabela8[[#This Row],[Ilość]]*Tabela8[[#This Row],[C.j. netto]]</f>
        <v>0</v>
      </c>
      <c r="G17" s="37"/>
      <c r="H17" s="38"/>
      <c r="I17" s="37"/>
      <c r="J17" s="37"/>
      <c r="K17" s="37"/>
      <c r="L17" s="39"/>
    </row>
    <row r="18" spans="1:12">
      <c r="A18" s="13" t="s">
        <v>118</v>
      </c>
      <c r="B18" s="58"/>
      <c r="C18" s="26"/>
      <c r="D18" s="26"/>
      <c r="E18" s="15"/>
      <c r="F18" s="31">
        <f>SUBTOTAL(109,Tabela8[Wartość netto])</f>
        <v>0</v>
      </c>
      <c r="G18" s="15"/>
      <c r="H18" s="26"/>
      <c r="I18" s="15"/>
      <c r="J18" s="15"/>
      <c r="K18" s="15"/>
      <c r="L18" s="16"/>
    </row>
    <row r="20" spans="1:12" ht="30" customHeight="1"/>
    <row r="21" spans="1:12" ht="30" customHeight="1">
      <c r="A21" s="10" t="s">
        <v>115</v>
      </c>
      <c r="B21" s="5"/>
    </row>
    <row r="22" spans="1:12" ht="30" customHeight="1">
      <c r="A22" s="11" t="s">
        <v>116</v>
      </c>
      <c r="B22" s="5"/>
      <c r="L22" s="17"/>
    </row>
    <row r="23" spans="1:12" ht="15">
      <c r="A23" s="11" t="s">
        <v>117</v>
      </c>
      <c r="B23" s="5"/>
      <c r="L23" s="32" t="s">
        <v>119</v>
      </c>
    </row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627C-8DF5-447B-9BE4-CE24D49DDBEC}">
  <sheetPr>
    <pageSetUpPr fitToPage="1"/>
  </sheetPr>
  <dimension ref="A1:M45"/>
  <sheetViews>
    <sheetView workbookViewId="0">
      <selection activeCell="D9" sqref="D9"/>
    </sheetView>
    <sheetView workbookViewId="1"/>
    <sheetView workbookViewId="2">
      <selection activeCell="F23" sqref="F23"/>
    </sheetView>
  </sheetViews>
  <sheetFormatPr defaultRowHeight="14.25"/>
  <cols>
    <col min="1" max="1" width="14.125" customWidth="1"/>
    <col min="2" max="2" width="49.625" style="6" customWidth="1"/>
    <col min="3" max="4" width="9.125" style="24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625" customWidth="1"/>
  </cols>
  <sheetData>
    <row r="1" spans="1:13" ht="15">
      <c r="A1" s="4" t="s">
        <v>24</v>
      </c>
      <c r="B1" s="199"/>
    </row>
    <row r="3" spans="1:13" ht="39.950000000000003" customHeight="1">
      <c r="A3" s="8" t="s">
        <v>112</v>
      </c>
      <c r="B3" s="264"/>
      <c r="C3" s="264"/>
      <c r="D3" s="264"/>
      <c r="E3" s="264"/>
    </row>
    <row r="4" spans="1:13" ht="39.950000000000003" customHeight="1">
      <c r="A4" s="8" t="s">
        <v>113</v>
      </c>
      <c r="B4" s="264"/>
      <c r="C4" s="264"/>
      <c r="D4" s="264"/>
      <c r="E4" s="264"/>
    </row>
    <row r="5" spans="1:13" ht="39.950000000000003" customHeight="1">
      <c r="A5" s="8" t="s">
        <v>114</v>
      </c>
      <c r="B5" s="264"/>
      <c r="C5" s="264"/>
      <c r="D5" s="264"/>
      <c r="E5" s="264"/>
    </row>
    <row r="8" spans="1:13">
      <c r="A8" s="18" t="s">
        <v>0</v>
      </c>
      <c r="B8" s="19" t="s">
        <v>15</v>
      </c>
      <c r="C8" s="19" t="s">
        <v>1</v>
      </c>
      <c r="D8" s="20" t="s">
        <v>2</v>
      </c>
      <c r="E8" s="21" t="s">
        <v>9</v>
      </c>
      <c r="F8" s="21" t="s">
        <v>8</v>
      </c>
      <c r="G8" s="19" t="s">
        <v>7</v>
      </c>
      <c r="H8" s="22" t="s">
        <v>3</v>
      </c>
      <c r="I8" s="19" t="s">
        <v>13</v>
      </c>
      <c r="J8" s="19" t="s">
        <v>10</v>
      </c>
      <c r="K8" s="19" t="s">
        <v>11</v>
      </c>
      <c r="L8" s="23" t="s">
        <v>12</v>
      </c>
      <c r="M8" s="1"/>
    </row>
    <row r="9" spans="1:13">
      <c r="A9" s="202" t="s">
        <v>4</v>
      </c>
      <c r="B9" s="57" t="s">
        <v>177</v>
      </c>
      <c r="C9" s="35" t="s">
        <v>29</v>
      </c>
      <c r="D9" s="35">
        <v>30</v>
      </c>
      <c r="E9" s="36"/>
      <c r="F9" s="36">
        <f>Tabela9[[#This Row],[Ilość]]*Tabela9[[#This Row],[C.j. netto]]</f>
        <v>0</v>
      </c>
      <c r="G9" s="37"/>
      <c r="H9" s="38"/>
      <c r="I9" s="37"/>
      <c r="J9" s="37"/>
      <c r="K9" s="37"/>
      <c r="L9" s="37"/>
    </row>
    <row r="10" spans="1:13">
      <c r="A10" s="202" t="s">
        <v>5</v>
      </c>
      <c r="B10" s="57" t="s">
        <v>178</v>
      </c>
      <c r="C10" s="35" t="s">
        <v>29</v>
      </c>
      <c r="D10" s="35">
        <v>380</v>
      </c>
      <c r="E10" s="36"/>
      <c r="F10" s="36">
        <f>Tabela9[[#This Row],[Ilość]]*Tabela9[[#This Row],[C.j. netto]]</f>
        <v>0</v>
      </c>
      <c r="G10" s="37"/>
      <c r="H10" s="38"/>
      <c r="I10" s="37"/>
      <c r="J10" s="37"/>
      <c r="K10" s="37"/>
      <c r="L10" s="37"/>
    </row>
    <row r="11" spans="1:13">
      <c r="A11" s="202" t="s">
        <v>6</v>
      </c>
      <c r="B11" s="57" t="s">
        <v>179</v>
      </c>
      <c r="C11" s="35" t="s">
        <v>29</v>
      </c>
      <c r="D11" s="35">
        <v>70</v>
      </c>
      <c r="E11" s="36"/>
      <c r="F11" s="36">
        <f>Tabela9[[#This Row],[Ilość]]*Tabela9[[#This Row],[C.j. netto]]</f>
        <v>0</v>
      </c>
      <c r="G11" s="37"/>
      <c r="H11" s="38"/>
      <c r="I11" s="37"/>
      <c r="J11" s="37"/>
      <c r="K11" s="37"/>
      <c r="L11" s="37"/>
    </row>
    <row r="12" spans="1:13">
      <c r="A12" s="202" t="s">
        <v>26</v>
      </c>
      <c r="B12" s="57" t="s">
        <v>180</v>
      </c>
      <c r="C12" s="35" t="s">
        <v>29</v>
      </c>
      <c r="D12" s="35">
        <v>20</v>
      </c>
      <c r="E12" s="36"/>
      <c r="F12" s="36">
        <f>Tabela9[[#This Row],[Ilość]]*Tabela9[[#This Row],[C.j. netto]]</f>
        <v>0</v>
      </c>
      <c r="G12" s="37"/>
      <c r="H12" s="38"/>
      <c r="I12" s="37"/>
      <c r="J12" s="37"/>
      <c r="K12" s="37"/>
      <c r="L12" s="37"/>
    </row>
    <row r="13" spans="1:13">
      <c r="A13" s="202" t="s">
        <v>27</v>
      </c>
      <c r="B13" s="57" t="s">
        <v>181</v>
      </c>
      <c r="C13" s="35" t="s">
        <v>29</v>
      </c>
      <c r="D13" s="35">
        <v>20</v>
      </c>
      <c r="E13" s="36"/>
      <c r="F13" s="36">
        <f>Tabela9[[#This Row],[Ilość]]*Tabela9[[#This Row],[C.j. netto]]</f>
        <v>0</v>
      </c>
      <c r="G13" s="37"/>
      <c r="H13" s="38"/>
      <c r="I13" s="37"/>
      <c r="J13" s="37"/>
      <c r="K13" s="37"/>
      <c r="L13" s="37"/>
    </row>
    <row r="14" spans="1:13">
      <c r="A14" s="202" t="s">
        <v>32</v>
      </c>
      <c r="B14" s="57" t="s">
        <v>182</v>
      </c>
      <c r="C14" s="35" t="s">
        <v>29</v>
      </c>
      <c r="D14" s="35">
        <v>5</v>
      </c>
      <c r="E14" s="36"/>
      <c r="F14" s="36">
        <f>Tabela9[[#This Row],[Ilość]]*Tabela9[[#This Row],[C.j. netto]]</f>
        <v>0</v>
      </c>
      <c r="G14" s="37"/>
      <c r="H14" s="38"/>
      <c r="I14" s="37"/>
      <c r="J14" s="37"/>
      <c r="K14" s="37"/>
      <c r="L14" s="37"/>
    </row>
    <row r="15" spans="1:13">
      <c r="A15" s="202" t="s">
        <v>34</v>
      </c>
      <c r="B15" s="57" t="s">
        <v>1294</v>
      </c>
      <c r="C15" s="35" t="s">
        <v>29</v>
      </c>
      <c r="D15" s="35">
        <v>90</v>
      </c>
      <c r="E15" s="36"/>
      <c r="F15" s="36">
        <f>Tabela9[[#This Row],[Ilość]]*Tabela9[[#This Row],[C.j. netto]]</f>
        <v>0</v>
      </c>
      <c r="G15" s="37"/>
      <c r="H15" s="38"/>
      <c r="I15" s="37"/>
      <c r="J15" s="37"/>
      <c r="K15" s="37"/>
      <c r="L15" s="37"/>
    </row>
    <row r="16" spans="1:13">
      <c r="A16" s="202" t="s">
        <v>36</v>
      </c>
      <c r="B16" s="57" t="s">
        <v>183</v>
      </c>
      <c r="C16" s="35" t="s">
        <v>29</v>
      </c>
      <c r="D16" s="35">
        <v>6</v>
      </c>
      <c r="E16" s="36"/>
      <c r="F16" s="36">
        <f>Tabela9[[#This Row],[Ilość]]*Tabela9[[#This Row],[C.j. netto]]</f>
        <v>0</v>
      </c>
      <c r="G16" s="37"/>
      <c r="H16" s="38"/>
      <c r="I16" s="37"/>
      <c r="J16" s="37"/>
      <c r="K16" s="37"/>
      <c r="L16" s="37"/>
    </row>
    <row r="17" spans="1:12">
      <c r="A17" s="202" t="s">
        <v>38</v>
      </c>
      <c r="B17" s="57" t="s">
        <v>184</v>
      </c>
      <c r="C17" s="35" t="s">
        <v>29</v>
      </c>
      <c r="D17" s="35">
        <v>6</v>
      </c>
      <c r="E17" s="36"/>
      <c r="F17" s="36">
        <f>Tabela9[[#This Row],[Ilość]]*Tabela9[[#This Row],[C.j. netto]]</f>
        <v>0</v>
      </c>
      <c r="G17" s="37"/>
      <c r="H17" s="38"/>
      <c r="I17" s="37"/>
      <c r="J17" s="37"/>
      <c r="K17" s="37"/>
      <c r="L17" s="37"/>
    </row>
    <row r="18" spans="1:12">
      <c r="A18" s="202" t="s">
        <v>40</v>
      </c>
      <c r="B18" s="57" t="s">
        <v>185</v>
      </c>
      <c r="C18" s="35" t="s">
        <v>29</v>
      </c>
      <c r="D18" s="35">
        <v>20</v>
      </c>
      <c r="E18" s="36"/>
      <c r="F18" s="36">
        <f>Tabela9[[#This Row],[Ilość]]*Tabela9[[#This Row],[C.j. netto]]</f>
        <v>0</v>
      </c>
      <c r="G18" s="37"/>
      <c r="H18" s="38"/>
      <c r="I18" s="37"/>
      <c r="J18" s="37"/>
      <c r="K18" s="37"/>
      <c r="L18" s="37"/>
    </row>
    <row r="19" spans="1:12">
      <c r="A19" s="202" t="s">
        <v>42</v>
      </c>
      <c r="B19" s="57" t="s">
        <v>186</v>
      </c>
      <c r="C19" s="35" t="s">
        <v>29</v>
      </c>
      <c r="D19" s="35">
        <v>12</v>
      </c>
      <c r="E19" s="36"/>
      <c r="F19" s="36">
        <f>Tabela9[[#This Row],[Ilość]]*Tabela9[[#This Row],[C.j. netto]]</f>
        <v>0</v>
      </c>
      <c r="G19" s="37"/>
      <c r="H19" s="38"/>
      <c r="I19" s="37"/>
      <c r="J19" s="37"/>
      <c r="K19" s="37"/>
      <c r="L19" s="37"/>
    </row>
    <row r="20" spans="1:12">
      <c r="A20" s="202" t="s">
        <v>45</v>
      </c>
      <c r="B20" s="57" t="s">
        <v>187</v>
      </c>
      <c r="C20" s="35" t="s">
        <v>29</v>
      </c>
      <c r="D20" s="35">
        <v>12</v>
      </c>
      <c r="E20" s="36"/>
      <c r="F20" s="36">
        <f>Tabela9[[#This Row],[Ilość]]*Tabela9[[#This Row],[C.j. netto]]</f>
        <v>0</v>
      </c>
      <c r="G20" s="37"/>
      <c r="H20" s="38"/>
      <c r="I20" s="37"/>
      <c r="J20" s="37"/>
      <c r="K20" s="37"/>
      <c r="L20" s="37"/>
    </row>
    <row r="21" spans="1:12" ht="25.5">
      <c r="A21" s="202" t="s">
        <v>47</v>
      </c>
      <c r="B21" s="57" t="s">
        <v>204</v>
      </c>
      <c r="C21" s="35" t="s">
        <v>29</v>
      </c>
      <c r="D21" s="35">
        <v>12</v>
      </c>
      <c r="E21" s="36"/>
      <c r="F21" s="36">
        <f>Tabela9[[#This Row],[Ilość]]*Tabela9[[#This Row],[C.j. netto]]</f>
        <v>0</v>
      </c>
      <c r="G21" s="37"/>
      <c r="H21" s="38"/>
      <c r="I21" s="37"/>
      <c r="J21" s="37"/>
      <c r="K21" s="37"/>
      <c r="L21" s="37"/>
    </row>
    <row r="22" spans="1:12" ht="25.5">
      <c r="A22" s="202" t="s">
        <v>48</v>
      </c>
      <c r="B22" s="57" t="s">
        <v>205</v>
      </c>
      <c r="C22" s="35" t="s">
        <v>29</v>
      </c>
      <c r="D22" s="35">
        <v>12</v>
      </c>
      <c r="E22" s="36"/>
      <c r="F22" s="36">
        <f>Tabela9[[#This Row],[Ilość]]*Tabela9[[#This Row],[C.j. netto]]</f>
        <v>0</v>
      </c>
      <c r="G22" s="37"/>
      <c r="H22" s="38"/>
      <c r="I22" s="37"/>
      <c r="J22" s="37"/>
      <c r="K22" s="37"/>
      <c r="L22" s="37"/>
    </row>
    <row r="23" spans="1:12" ht="25.5">
      <c r="A23" s="202" t="s">
        <v>49</v>
      </c>
      <c r="B23" s="57" t="s">
        <v>206</v>
      </c>
      <c r="C23" s="35" t="s">
        <v>29</v>
      </c>
      <c r="D23" s="35">
        <v>12</v>
      </c>
      <c r="E23" s="36"/>
      <c r="F23" s="36">
        <f>Tabela9[[#This Row],[Ilość]]*Tabela9[[#This Row],[C.j. netto]]</f>
        <v>0</v>
      </c>
      <c r="G23" s="37"/>
      <c r="H23" s="38"/>
      <c r="I23" s="37"/>
      <c r="J23" s="37"/>
      <c r="K23" s="37"/>
      <c r="L23" s="37"/>
    </row>
    <row r="24" spans="1:12" ht="25.5">
      <c r="A24" s="202" t="s">
        <v>50</v>
      </c>
      <c r="B24" s="57" t="s">
        <v>188</v>
      </c>
      <c r="C24" s="35" t="s">
        <v>29</v>
      </c>
      <c r="D24" s="35">
        <v>12</v>
      </c>
      <c r="E24" s="36"/>
      <c r="F24" s="36">
        <f>Tabela9[[#This Row],[Ilość]]*Tabela9[[#This Row],[C.j. netto]]</f>
        <v>0</v>
      </c>
      <c r="G24" s="37"/>
      <c r="H24" s="38"/>
      <c r="I24" s="37"/>
      <c r="J24" s="37"/>
      <c r="K24" s="37"/>
      <c r="L24" s="37"/>
    </row>
    <row r="25" spans="1:12" ht="25.5">
      <c r="A25" s="202" t="s">
        <v>52</v>
      </c>
      <c r="B25" s="57" t="s">
        <v>189</v>
      </c>
      <c r="C25" s="35" t="s">
        <v>29</v>
      </c>
      <c r="D25" s="35">
        <v>4</v>
      </c>
      <c r="E25" s="36"/>
      <c r="F25" s="36">
        <f>Tabela9[[#This Row],[Ilość]]*Tabela9[[#This Row],[C.j. netto]]</f>
        <v>0</v>
      </c>
      <c r="G25" s="37"/>
      <c r="H25" s="38"/>
      <c r="I25" s="37"/>
      <c r="J25" s="37"/>
      <c r="K25" s="37"/>
      <c r="L25" s="37"/>
    </row>
    <row r="26" spans="1:12" ht="25.5">
      <c r="A26" s="202" t="s">
        <v>54</v>
      </c>
      <c r="B26" s="57" t="s">
        <v>190</v>
      </c>
      <c r="C26" s="35" t="s">
        <v>29</v>
      </c>
      <c r="D26" s="35">
        <v>5</v>
      </c>
      <c r="E26" s="36"/>
      <c r="F26" s="36">
        <f>Tabela9[[#This Row],[Ilość]]*Tabela9[[#This Row],[C.j. netto]]</f>
        <v>0</v>
      </c>
      <c r="G26" s="37"/>
      <c r="H26" s="38"/>
      <c r="I26" s="37"/>
      <c r="J26" s="37"/>
      <c r="K26" s="37"/>
      <c r="L26" s="37"/>
    </row>
    <row r="27" spans="1:12" ht="25.5">
      <c r="A27" s="202" t="s">
        <v>56</v>
      </c>
      <c r="B27" s="57" t="s">
        <v>191</v>
      </c>
      <c r="C27" s="35" t="s">
        <v>29</v>
      </c>
      <c r="D27" s="35">
        <v>5</v>
      </c>
      <c r="E27" s="36"/>
      <c r="F27" s="36">
        <f>Tabela9[[#This Row],[Ilość]]*Tabela9[[#This Row],[C.j. netto]]</f>
        <v>0</v>
      </c>
      <c r="G27" s="37"/>
      <c r="H27" s="38"/>
      <c r="I27" s="37"/>
      <c r="J27" s="37"/>
      <c r="K27" s="37"/>
      <c r="L27" s="37"/>
    </row>
    <row r="28" spans="1:12">
      <c r="A28" s="202" t="s">
        <v>57</v>
      </c>
      <c r="B28" s="57" t="s">
        <v>207</v>
      </c>
      <c r="C28" s="35" t="s">
        <v>29</v>
      </c>
      <c r="D28" s="35">
        <v>6</v>
      </c>
      <c r="E28" s="36"/>
      <c r="F28" s="36">
        <f>Tabela9[[#This Row],[Ilość]]*Tabela9[[#This Row],[C.j. netto]]</f>
        <v>0</v>
      </c>
      <c r="G28" s="37"/>
      <c r="H28" s="38"/>
      <c r="I28" s="37"/>
      <c r="J28" s="37"/>
      <c r="K28" s="37"/>
      <c r="L28" s="37"/>
    </row>
    <row r="29" spans="1:12">
      <c r="A29" s="202" t="s">
        <v>59</v>
      </c>
      <c r="B29" s="57" t="s">
        <v>192</v>
      </c>
      <c r="C29" s="35" t="s">
        <v>29</v>
      </c>
      <c r="D29" s="35">
        <v>50</v>
      </c>
      <c r="E29" s="36"/>
      <c r="F29" s="36">
        <f>Tabela9[[#This Row],[Ilość]]*Tabela9[[#This Row],[C.j. netto]]</f>
        <v>0</v>
      </c>
      <c r="G29" s="37"/>
      <c r="H29" s="38"/>
      <c r="I29" s="37"/>
      <c r="J29" s="37"/>
      <c r="K29" s="37"/>
      <c r="L29" s="37"/>
    </row>
    <row r="30" spans="1:12">
      <c r="A30" s="202" t="s">
        <v>61</v>
      </c>
      <c r="B30" s="57" t="s">
        <v>193</v>
      </c>
      <c r="C30" s="35" t="s">
        <v>29</v>
      </c>
      <c r="D30" s="35">
        <v>80</v>
      </c>
      <c r="E30" s="36"/>
      <c r="F30" s="36">
        <f>Tabela9[[#This Row],[Ilość]]*Tabela9[[#This Row],[C.j. netto]]</f>
        <v>0</v>
      </c>
      <c r="G30" s="37"/>
      <c r="H30" s="38"/>
      <c r="I30" s="37"/>
      <c r="J30" s="37"/>
      <c r="K30" s="37"/>
      <c r="L30" s="37"/>
    </row>
    <row r="31" spans="1:12">
      <c r="A31" s="202" t="s">
        <v>63</v>
      </c>
      <c r="B31" s="57" t="s">
        <v>194</v>
      </c>
      <c r="C31" s="35" t="s">
        <v>29</v>
      </c>
      <c r="D31" s="35">
        <v>200</v>
      </c>
      <c r="E31" s="36"/>
      <c r="F31" s="36">
        <f>Tabela9[[#This Row],[Ilość]]*Tabela9[[#This Row],[C.j. netto]]</f>
        <v>0</v>
      </c>
      <c r="G31" s="37"/>
      <c r="H31" s="38"/>
      <c r="I31" s="37"/>
      <c r="J31" s="37"/>
      <c r="K31" s="37"/>
      <c r="L31" s="37"/>
    </row>
    <row r="32" spans="1:12" ht="25.5">
      <c r="A32" s="202" t="s">
        <v>65</v>
      </c>
      <c r="B32" s="57" t="s">
        <v>195</v>
      </c>
      <c r="C32" s="35" t="s">
        <v>29</v>
      </c>
      <c r="D32" s="35">
        <v>150</v>
      </c>
      <c r="E32" s="36"/>
      <c r="F32" s="36">
        <f>Tabela9[[#This Row],[Ilość]]*Tabela9[[#This Row],[C.j. netto]]</f>
        <v>0</v>
      </c>
      <c r="G32" s="37"/>
      <c r="H32" s="38"/>
      <c r="I32" s="37"/>
      <c r="J32" s="37"/>
      <c r="K32" s="37"/>
      <c r="L32" s="37"/>
    </row>
    <row r="33" spans="1:12">
      <c r="A33" s="202" t="s">
        <v>67</v>
      </c>
      <c r="B33" s="57" t="s">
        <v>196</v>
      </c>
      <c r="C33" s="35" t="s">
        <v>29</v>
      </c>
      <c r="D33" s="35">
        <v>20</v>
      </c>
      <c r="E33" s="36"/>
      <c r="F33" s="36">
        <f>Tabela9[[#This Row],[Ilość]]*Tabela9[[#This Row],[C.j. netto]]</f>
        <v>0</v>
      </c>
      <c r="G33" s="37"/>
      <c r="H33" s="38"/>
      <c r="I33" s="37"/>
      <c r="J33" s="37"/>
      <c r="K33" s="37"/>
      <c r="L33" s="37"/>
    </row>
    <row r="34" spans="1:12">
      <c r="A34" s="202" t="s">
        <v>69</v>
      </c>
      <c r="B34" s="57" t="s">
        <v>197</v>
      </c>
      <c r="C34" s="35" t="s">
        <v>103</v>
      </c>
      <c r="D34" s="35">
        <v>100</v>
      </c>
      <c r="E34" s="36"/>
      <c r="F34" s="36">
        <f>Tabela9[[#This Row],[Ilość]]*Tabela9[[#This Row],[C.j. netto]]</f>
        <v>0</v>
      </c>
      <c r="G34" s="37"/>
      <c r="H34" s="38"/>
      <c r="I34" s="37"/>
      <c r="J34" s="37"/>
      <c r="K34" s="37"/>
      <c r="L34" s="37"/>
    </row>
    <row r="35" spans="1:12">
      <c r="A35" s="202" t="s">
        <v>71</v>
      </c>
      <c r="B35" s="57" t="s">
        <v>198</v>
      </c>
      <c r="C35" s="35" t="s">
        <v>103</v>
      </c>
      <c r="D35" s="35">
        <v>450</v>
      </c>
      <c r="E35" s="36"/>
      <c r="F35" s="36">
        <f>Tabela9[[#This Row],[Ilość]]*Tabela9[[#This Row],[C.j. netto]]</f>
        <v>0</v>
      </c>
      <c r="G35" s="37"/>
      <c r="H35" s="38"/>
      <c r="I35" s="37"/>
      <c r="J35" s="37"/>
      <c r="K35" s="37"/>
      <c r="L35" s="37"/>
    </row>
    <row r="36" spans="1:12" ht="25.5">
      <c r="A36" s="202" t="s">
        <v>73</v>
      </c>
      <c r="B36" s="57" t="s">
        <v>199</v>
      </c>
      <c r="C36" s="35" t="s">
        <v>29</v>
      </c>
      <c r="D36" s="35">
        <v>30</v>
      </c>
      <c r="E36" s="36"/>
      <c r="F36" s="36">
        <f>Tabela9[[#This Row],[Ilość]]*Tabela9[[#This Row],[C.j. netto]]</f>
        <v>0</v>
      </c>
      <c r="G36" s="37"/>
      <c r="H36" s="38"/>
      <c r="I36" s="37"/>
      <c r="J36" s="37"/>
      <c r="K36" s="37"/>
      <c r="L36" s="37"/>
    </row>
    <row r="37" spans="1:12" ht="25.5">
      <c r="A37" s="202" t="s">
        <v>75</v>
      </c>
      <c r="B37" s="57" t="s">
        <v>200</v>
      </c>
      <c r="C37" s="35" t="s">
        <v>29</v>
      </c>
      <c r="D37" s="35">
        <v>30</v>
      </c>
      <c r="E37" s="36"/>
      <c r="F37" s="36">
        <f>Tabela9[[#This Row],[Ilość]]*Tabela9[[#This Row],[C.j. netto]]</f>
        <v>0</v>
      </c>
      <c r="G37" s="37"/>
      <c r="H37" s="38"/>
      <c r="I37" s="37"/>
      <c r="J37" s="37"/>
      <c r="K37" s="37"/>
      <c r="L37" s="37"/>
    </row>
    <row r="38" spans="1:12">
      <c r="A38" s="202" t="s">
        <v>77</v>
      </c>
      <c r="B38" s="57" t="s">
        <v>201</v>
      </c>
      <c r="C38" s="35" t="s">
        <v>29</v>
      </c>
      <c r="D38" s="35">
        <v>750</v>
      </c>
      <c r="E38" s="36"/>
      <c r="F38" s="36">
        <f>Tabela9[[#This Row],[Ilość]]*Tabela9[[#This Row],[C.j. netto]]</f>
        <v>0</v>
      </c>
      <c r="G38" s="37"/>
      <c r="H38" s="38"/>
      <c r="I38" s="37"/>
      <c r="J38" s="37"/>
      <c r="K38" s="37"/>
      <c r="L38" s="37"/>
    </row>
    <row r="39" spans="1:12">
      <c r="A39" s="202" t="s">
        <v>79</v>
      </c>
      <c r="B39" s="34" t="s">
        <v>202</v>
      </c>
      <c r="C39" s="35" t="s">
        <v>29</v>
      </c>
      <c r="D39" s="35">
        <v>80</v>
      </c>
      <c r="E39" s="36"/>
      <c r="F39" s="36">
        <f>Tabela9[[#This Row],[Ilość]]*Tabela9[[#This Row],[C.j. netto]]</f>
        <v>0</v>
      </c>
      <c r="G39" s="37"/>
      <c r="H39" s="38"/>
      <c r="I39" s="37"/>
      <c r="J39" s="37"/>
      <c r="K39" s="37"/>
      <c r="L39" s="37"/>
    </row>
    <row r="40" spans="1:12">
      <c r="A40" s="202" t="s">
        <v>81</v>
      </c>
      <c r="B40" s="34" t="s">
        <v>203</v>
      </c>
      <c r="C40" s="35" t="s">
        <v>29</v>
      </c>
      <c r="D40" s="35">
        <v>90</v>
      </c>
      <c r="E40" s="36"/>
      <c r="F40" s="36">
        <f>Tabela9[[#This Row],[Ilość]]*Tabela9[[#This Row],[C.j. netto]]</f>
        <v>0</v>
      </c>
      <c r="G40" s="37"/>
      <c r="H40" s="38"/>
      <c r="I40" s="37"/>
      <c r="J40" s="37"/>
      <c r="K40" s="37"/>
      <c r="L40" s="37"/>
    </row>
    <row r="41" spans="1:12" ht="30" customHeight="1">
      <c r="A41" s="9" t="s">
        <v>118</v>
      </c>
      <c r="B41" s="7"/>
      <c r="C41" s="25"/>
      <c r="D41" s="25"/>
      <c r="E41" s="12"/>
      <c r="F41" s="61">
        <f>SUBTOTAL(109,Tabela9[Wartość netto])</f>
        <v>0</v>
      </c>
      <c r="G41" s="12"/>
      <c r="H41" s="25"/>
      <c r="I41" s="12"/>
      <c r="J41" s="12"/>
      <c r="K41" s="12"/>
      <c r="L41" s="12"/>
    </row>
    <row r="42" spans="1:12" ht="30" customHeight="1">
      <c r="A42" s="27"/>
      <c r="B42" s="60"/>
      <c r="E42"/>
      <c r="F42" s="28"/>
      <c r="H42" s="24"/>
    </row>
    <row r="43" spans="1:12" ht="30" customHeight="1">
      <c r="A43" s="10" t="s">
        <v>115</v>
      </c>
      <c r="B43" s="5"/>
    </row>
    <row r="44" spans="1:12" ht="30" customHeight="1">
      <c r="A44" s="11" t="s">
        <v>116</v>
      </c>
      <c r="B44" s="5"/>
      <c r="L44" s="17"/>
    </row>
    <row r="45" spans="1:12" ht="15">
      <c r="A45" s="11" t="s">
        <v>117</v>
      </c>
      <c r="B45" s="5"/>
      <c r="L45" s="32" t="s">
        <v>119</v>
      </c>
    </row>
  </sheetData>
  <mergeCells count="3">
    <mergeCell ref="B3:E3"/>
    <mergeCell ref="B4:E4"/>
    <mergeCell ref="B5:E5"/>
  </mergeCells>
  <phoneticPr fontId="4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70</vt:i4>
      </vt:variant>
      <vt:variant>
        <vt:lpstr>Nazwane zakresy</vt:lpstr>
      </vt:variant>
      <vt:variant>
        <vt:i4>69</vt:i4>
      </vt:variant>
    </vt:vector>
  </HeadingPairs>
  <TitlesOfParts>
    <vt:vector size="139" baseType="lpstr">
      <vt:lpstr>Z1</vt:lpstr>
      <vt:lpstr>Z2</vt:lpstr>
      <vt:lpstr>Z3</vt:lpstr>
      <vt:lpstr>Z4</vt:lpstr>
      <vt:lpstr>Z5</vt:lpstr>
      <vt:lpstr>Z6</vt:lpstr>
      <vt:lpstr>Z7</vt:lpstr>
      <vt:lpstr>Z8</vt:lpstr>
      <vt:lpstr>Z9</vt:lpstr>
      <vt:lpstr>Z10</vt:lpstr>
      <vt:lpstr>Z11</vt:lpstr>
      <vt:lpstr>Z12</vt:lpstr>
      <vt:lpstr>Z13</vt:lpstr>
      <vt:lpstr>Z14</vt:lpstr>
      <vt:lpstr>Z15</vt:lpstr>
      <vt:lpstr>Z16</vt:lpstr>
      <vt:lpstr>Z17</vt:lpstr>
      <vt:lpstr>Z18</vt:lpstr>
      <vt:lpstr>Z19</vt:lpstr>
      <vt:lpstr>Z20</vt:lpstr>
      <vt:lpstr>Z21</vt:lpstr>
      <vt:lpstr>Z22</vt:lpstr>
      <vt:lpstr>Z23</vt:lpstr>
      <vt:lpstr>Z24</vt:lpstr>
      <vt:lpstr>Z25</vt:lpstr>
      <vt:lpstr>Z26</vt:lpstr>
      <vt:lpstr>Z27</vt:lpstr>
      <vt:lpstr>Z28</vt:lpstr>
      <vt:lpstr>Z29</vt:lpstr>
      <vt:lpstr>Z30</vt:lpstr>
      <vt:lpstr>Z31</vt:lpstr>
      <vt:lpstr>Z32</vt:lpstr>
      <vt:lpstr>Z33</vt:lpstr>
      <vt:lpstr>Z34</vt:lpstr>
      <vt:lpstr>Z35</vt:lpstr>
      <vt:lpstr>Z36</vt:lpstr>
      <vt:lpstr>Z37</vt:lpstr>
      <vt:lpstr>Z38</vt:lpstr>
      <vt:lpstr>Z39</vt:lpstr>
      <vt:lpstr>Z40</vt:lpstr>
      <vt:lpstr>Z41</vt:lpstr>
      <vt:lpstr>Z42</vt:lpstr>
      <vt:lpstr>Z43</vt:lpstr>
      <vt:lpstr>Z44</vt:lpstr>
      <vt:lpstr>Z45</vt:lpstr>
      <vt:lpstr>Z46</vt:lpstr>
      <vt:lpstr>Z47</vt:lpstr>
      <vt:lpstr>Z48</vt:lpstr>
      <vt:lpstr>Z49</vt:lpstr>
      <vt:lpstr>Z50</vt:lpstr>
      <vt:lpstr>Z51</vt:lpstr>
      <vt:lpstr>Z52</vt:lpstr>
      <vt:lpstr>Z53</vt:lpstr>
      <vt:lpstr>Z54</vt:lpstr>
      <vt:lpstr>Z55</vt:lpstr>
      <vt:lpstr>Z56</vt:lpstr>
      <vt:lpstr>Z57</vt:lpstr>
      <vt:lpstr>Z58</vt:lpstr>
      <vt:lpstr>Z59</vt:lpstr>
      <vt:lpstr>Z60</vt:lpstr>
      <vt:lpstr>Z61</vt:lpstr>
      <vt:lpstr>Z62</vt:lpstr>
      <vt:lpstr>Z63</vt:lpstr>
      <vt:lpstr>Z64</vt:lpstr>
      <vt:lpstr>Z65</vt:lpstr>
      <vt:lpstr>Z66</vt:lpstr>
      <vt:lpstr>Z67</vt:lpstr>
      <vt:lpstr>Z68</vt:lpstr>
      <vt:lpstr>Z69</vt:lpstr>
      <vt:lpstr>Z70</vt:lpstr>
      <vt:lpstr>'Z1'!Obszar_wydruku</vt:lpstr>
      <vt:lpstr>'Z10'!Obszar_wydruku</vt:lpstr>
      <vt:lpstr>'Z11'!Obszar_wydruku</vt:lpstr>
      <vt:lpstr>'Z12'!Obszar_wydruku</vt:lpstr>
      <vt:lpstr>'Z13'!Obszar_wydruku</vt:lpstr>
      <vt:lpstr>'Z14'!Obszar_wydruku</vt:lpstr>
      <vt:lpstr>'Z15'!Obszar_wydruku</vt:lpstr>
      <vt:lpstr>'Z16'!Obszar_wydruku</vt:lpstr>
      <vt:lpstr>'Z17'!Obszar_wydruku</vt:lpstr>
      <vt:lpstr>'Z18'!Obszar_wydruku</vt:lpstr>
      <vt:lpstr>'Z19'!Obszar_wydruku</vt:lpstr>
      <vt:lpstr>'Z2'!Obszar_wydruku</vt:lpstr>
      <vt:lpstr>'Z20'!Obszar_wydruku</vt:lpstr>
      <vt:lpstr>'Z21'!Obszar_wydruku</vt:lpstr>
      <vt:lpstr>'Z22'!Obszar_wydruku</vt:lpstr>
      <vt:lpstr>'Z23'!Obszar_wydruku</vt:lpstr>
      <vt:lpstr>'Z24'!Obszar_wydruku</vt:lpstr>
      <vt:lpstr>'Z25'!Obszar_wydruku</vt:lpstr>
      <vt:lpstr>'Z26'!Obszar_wydruku</vt:lpstr>
      <vt:lpstr>'Z27'!Obszar_wydruku</vt:lpstr>
      <vt:lpstr>'Z28'!Obszar_wydruku</vt:lpstr>
      <vt:lpstr>'Z29'!Obszar_wydruku</vt:lpstr>
      <vt:lpstr>'Z3'!Obszar_wydruku</vt:lpstr>
      <vt:lpstr>'Z30'!Obszar_wydruku</vt:lpstr>
      <vt:lpstr>'Z31'!Obszar_wydruku</vt:lpstr>
      <vt:lpstr>'Z32'!Obszar_wydruku</vt:lpstr>
      <vt:lpstr>'Z33'!Obszar_wydruku</vt:lpstr>
      <vt:lpstr>'Z34'!Obszar_wydruku</vt:lpstr>
      <vt:lpstr>'Z35'!Obszar_wydruku</vt:lpstr>
      <vt:lpstr>'Z37'!Obszar_wydruku</vt:lpstr>
      <vt:lpstr>'Z38'!Obszar_wydruku</vt:lpstr>
      <vt:lpstr>'Z39'!Obszar_wydruku</vt:lpstr>
      <vt:lpstr>'Z4'!Obszar_wydruku</vt:lpstr>
      <vt:lpstr>'Z40'!Obszar_wydruku</vt:lpstr>
      <vt:lpstr>'Z41'!Obszar_wydruku</vt:lpstr>
      <vt:lpstr>'Z42'!Obszar_wydruku</vt:lpstr>
      <vt:lpstr>'Z43'!Obszar_wydruku</vt:lpstr>
      <vt:lpstr>'Z44'!Obszar_wydruku</vt:lpstr>
      <vt:lpstr>'Z45'!Obszar_wydruku</vt:lpstr>
      <vt:lpstr>'Z46'!Obszar_wydruku</vt:lpstr>
      <vt:lpstr>'Z47'!Obszar_wydruku</vt:lpstr>
      <vt:lpstr>'Z48'!Obszar_wydruku</vt:lpstr>
      <vt:lpstr>'Z49'!Obszar_wydruku</vt:lpstr>
      <vt:lpstr>'Z5'!Obszar_wydruku</vt:lpstr>
      <vt:lpstr>'Z50'!Obszar_wydruku</vt:lpstr>
      <vt:lpstr>'Z51'!Obszar_wydruku</vt:lpstr>
      <vt:lpstr>'Z52'!Obszar_wydruku</vt:lpstr>
      <vt:lpstr>'Z53'!Obszar_wydruku</vt:lpstr>
      <vt:lpstr>'Z54'!Obszar_wydruku</vt:lpstr>
      <vt:lpstr>'Z55'!Obszar_wydruku</vt:lpstr>
      <vt:lpstr>'Z56'!Obszar_wydruku</vt:lpstr>
      <vt:lpstr>'Z57'!Obszar_wydruku</vt:lpstr>
      <vt:lpstr>'Z58'!Obszar_wydruku</vt:lpstr>
      <vt:lpstr>'Z59'!Obszar_wydruku</vt:lpstr>
      <vt:lpstr>'Z6'!Obszar_wydruku</vt:lpstr>
      <vt:lpstr>'Z60'!Obszar_wydruku</vt:lpstr>
      <vt:lpstr>'Z61'!Obszar_wydruku</vt:lpstr>
      <vt:lpstr>'Z62'!Obszar_wydruku</vt:lpstr>
      <vt:lpstr>'Z63'!Obszar_wydruku</vt:lpstr>
      <vt:lpstr>'Z64'!Obszar_wydruku</vt:lpstr>
      <vt:lpstr>'Z65'!Obszar_wydruku</vt:lpstr>
      <vt:lpstr>'Z66'!Obszar_wydruku</vt:lpstr>
      <vt:lpstr>'Z67'!Obszar_wydruku</vt:lpstr>
      <vt:lpstr>'Z68'!Obszar_wydruku</vt:lpstr>
      <vt:lpstr>'Z69'!Obszar_wydruku</vt:lpstr>
      <vt:lpstr>'Z7'!Obszar_wydruku</vt:lpstr>
      <vt:lpstr>'Z70'!Obszar_wydruku</vt:lpstr>
      <vt:lpstr>'Z8'!Obszar_wydruku</vt:lpstr>
      <vt:lpstr>'Z9'!Obszar_wydruku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Bochniarz</dc:creator>
  <cp:lastModifiedBy>Zamówienia Publiczne</cp:lastModifiedBy>
  <cp:lastPrinted>2024-11-18T23:29:24Z</cp:lastPrinted>
  <dcterms:created xsi:type="dcterms:W3CDTF">2024-08-29T08:46:16Z</dcterms:created>
  <dcterms:modified xsi:type="dcterms:W3CDTF">2025-10-13T06:21:53Z</dcterms:modified>
</cp:coreProperties>
</file>